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26355" windowHeight="11070" tabRatio="944" activeTab="0"/>
  </bookViews>
  <sheets>
    <sheet name="Contents" sheetId="1" r:id="rId1"/>
    <sheet name="Statement of fin position" sheetId="2" r:id="rId2"/>
    <sheet name="Statement of compreh income" sheetId="3" r:id="rId3"/>
    <sheet name="Statement of changes in equity" sheetId="4" r:id="rId4"/>
    <sheet name="Statement of cash flows" sheetId="5" r:id="rId5"/>
    <sheet name="dict" sheetId="6" state="hidden" r:id="rId6"/>
  </sheets>
  <definedNames>
    <definedName name="_xlnm._FilterDatabase" localSheetId="5" hidden="1">'dict'!$A$1:$D$343</definedName>
    <definedName name="_xlnm.Print_Area" localSheetId="4">'Statement of cash flows'!$A$1:$C$58</definedName>
    <definedName name="_xlnm.Print_Area" localSheetId="3">'Statement of changes in equity'!$A$1:$F$22</definedName>
    <definedName name="Основные_операционные_показатели">#REF!</definedName>
  </definedNames>
  <calcPr fullCalcOnLoad="1"/>
</workbook>
</file>

<file path=xl/sharedStrings.xml><?xml version="1.0" encoding="utf-8"?>
<sst xmlns="http://schemas.openxmlformats.org/spreadsheetml/2006/main" count="854" uniqueCount="738">
  <si>
    <t>Cash flows from operating activities</t>
  </si>
  <si>
    <t xml:space="preserve">Share capital </t>
  </si>
  <si>
    <t xml:space="preserve">Share premium </t>
  </si>
  <si>
    <t>-</t>
  </si>
  <si>
    <t>Retained earnings</t>
  </si>
  <si>
    <t xml:space="preserve">Key performance indicators </t>
  </si>
  <si>
    <t>Основные операционные показатели</t>
  </si>
  <si>
    <t>Statement of financial position</t>
  </si>
  <si>
    <t>Отчет о финансовом положении</t>
  </si>
  <si>
    <t>Loan portfolio</t>
  </si>
  <si>
    <t>Кредитный портфель</t>
  </si>
  <si>
    <t>Client funds</t>
  </si>
  <si>
    <t>Средства клиентов</t>
  </si>
  <si>
    <t>Capital</t>
  </si>
  <si>
    <t>Капитал</t>
  </si>
  <si>
    <t>Income and expenses</t>
  </si>
  <si>
    <t>Доходы и расходы</t>
  </si>
  <si>
    <t>Statement of Changes in Equity</t>
  </si>
  <si>
    <t>Statement of Cash Flows</t>
  </si>
  <si>
    <t>Отчет о движении денежных средств</t>
  </si>
  <si>
    <t>id</t>
  </si>
  <si>
    <t>RUS</t>
  </si>
  <si>
    <t>ENG</t>
  </si>
  <si>
    <t>Выбор языка отчёта:</t>
  </si>
  <si>
    <t xml:space="preserve">Statement of Financial Position </t>
  </si>
  <si>
    <t xml:space="preserve">Assets and Provision </t>
  </si>
  <si>
    <t xml:space="preserve">Liabilities </t>
  </si>
  <si>
    <t xml:space="preserve">Capital </t>
  </si>
  <si>
    <t xml:space="preserve">Income and Expense </t>
  </si>
  <si>
    <t xml:space="preserve">Statement of Changes in Equity </t>
  </si>
  <si>
    <t xml:space="preserve">Statement of Cash Flows </t>
  </si>
  <si>
    <t>Активы и резервы</t>
  </si>
  <si>
    <t>Пассивы</t>
  </si>
  <si>
    <t xml:space="preserve">Доходы и расходы </t>
  </si>
  <si>
    <t xml:space="preserve">Financial indicators </t>
  </si>
  <si>
    <t xml:space="preserve">Core income </t>
  </si>
  <si>
    <t xml:space="preserve">Net interest income </t>
  </si>
  <si>
    <t xml:space="preserve">Net fee and commission income </t>
  </si>
  <si>
    <t xml:space="preserve">Provisions for loan impairment/total gross loans </t>
  </si>
  <si>
    <t xml:space="preserve">NPL ratio </t>
  </si>
  <si>
    <t xml:space="preserve">NPL Coverage </t>
  </si>
  <si>
    <t xml:space="preserve">Loan portfolio </t>
  </si>
  <si>
    <t xml:space="preserve">Deposits </t>
  </si>
  <si>
    <t xml:space="preserve">Loan-to-Deposit ratio </t>
  </si>
  <si>
    <t xml:space="preserve">Performance Ratios </t>
  </si>
  <si>
    <t xml:space="preserve">Net interest margin </t>
  </si>
  <si>
    <t xml:space="preserve">Cost-to-Income Ratio </t>
  </si>
  <si>
    <t xml:space="preserve">ROA </t>
  </si>
  <si>
    <t xml:space="preserve">ROE </t>
  </si>
  <si>
    <t xml:space="preserve">Capital ratios </t>
  </si>
  <si>
    <t xml:space="preserve">Total capital adequacy ratio </t>
  </si>
  <si>
    <t xml:space="preserve">Tier 1  ratio </t>
  </si>
  <si>
    <t xml:space="preserve">Staff and Branches </t>
  </si>
  <si>
    <t xml:space="preserve">Average headcount per quarter, people </t>
  </si>
  <si>
    <t>Финансовые показатели</t>
  </si>
  <si>
    <t>Общий доход</t>
  </si>
  <si>
    <t>Чистый процентный доход</t>
  </si>
  <si>
    <t>Чистый комиссионный доход</t>
  </si>
  <si>
    <t>Отношение резервов к кредитному портфелю</t>
  </si>
  <si>
    <t>Показатель проблемной задолженности</t>
  </si>
  <si>
    <t>Покрытие проблемной задолженности</t>
  </si>
  <si>
    <t>Депозиты</t>
  </si>
  <si>
    <t>Коэффициент "Кредиты/депозиты"</t>
  </si>
  <si>
    <t>Показатели деятельности</t>
  </si>
  <si>
    <t>Чистая процентная маржа</t>
  </si>
  <si>
    <t>Показатель затрат к доходам</t>
  </si>
  <si>
    <t>Рентабельность активов</t>
  </si>
  <si>
    <t>Рентабельность капитала</t>
  </si>
  <si>
    <t>Показатели капитала</t>
  </si>
  <si>
    <t>Коэффициент достаточности капитала 1го уровня</t>
  </si>
  <si>
    <t>Персонал и филиалы</t>
  </si>
  <si>
    <t>Филиалы и отделения на конец периода</t>
  </si>
  <si>
    <t>Среднесписочная численность работников за квартал, чел</t>
  </si>
  <si>
    <t>Коэффициент достаточности капитала 1го и 2го уровня</t>
  </si>
  <si>
    <t xml:space="preserve">In millions of Russian Roubles </t>
  </si>
  <si>
    <t xml:space="preserve">Balance sheet </t>
  </si>
  <si>
    <t xml:space="preserve">ASSETS </t>
  </si>
  <si>
    <t xml:space="preserve">Cash and cash equivalents </t>
  </si>
  <si>
    <t xml:space="preserve">Mandatory cash balances with the CBRF </t>
  </si>
  <si>
    <t xml:space="preserve">Trading securities </t>
  </si>
  <si>
    <t xml:space="preserve">Due from other banks </t>
  </si>
  <si>
    <t xml:space="preserve">Loans and advances to customers </t>
  </si>
  <si>
    <t xml:space="preserve">Investment securities available for sale </t>
  </si>
  <si>
    <t xml:space="preserve">Investment securities held to maturity </t>
  </si>
  <si>
    <t xml:space="preserve">Premises, equipment and intangible assets </t>
  </si>
  <si>
    <t xml:space="preserve">Other financial assets </t>
  </si>
  <si>
    <t xml:space="preserve">Other assets </t>
  </si>
  <si>
    <t xml:space="preserve">TOTAL ASSETS </t>
  </si>
  <si>
    <t xml:space="preserve">LIABILITIES </t>
  </si>
  <si>
    <t xml:space="preserve">Due to other banks </t>
  </si>
  <si>
    <t xml:space="preserve">Customer accounts </t>
  </si>
  <si>
    <t xml:space="preserve">Debt securities in issue </t>
  </si>
  <si>
    <t xml:space="preserve">Subordinated loans </t>
  </si>
  <si>
    <t xml:space="preserve">Syndicated loans </t>
  </si>
  <si>
    <t xml:space="preserve">Other financial liabilities </t>
  </si>
  <si>
    <t xml:space="preserve">Other liabilities </t>
  </si>
  <si>
    <t xml:space="preserve">TOTAL LIABILITIES </t>
  </si>
  <si>
    <t xml:space="preserve">EQUITY  </t>
  </si>
  <si>
    <t xml:space="preserve">Retained earnings </t>
  </si>
  <si>
    <t xml:space="preserve">TOTAL EQUITY </t>
  </si>
  <si>
    <t xml:space="preserve">TOTAL LIABILITIES AND EQUITY </t>
  </si>
  <si>
    <t xml:space="preserve">Balance sheet ratios </t>
  </si>
  <si>
    <t xml:space="preserve">Customer gross loans/ Customer deposits </t>
  </si>
  <si>
    <t xml:space="preserve">Due from banks/ Due to banks </t>
  </si>
  <si>
    <t xml:space="preserve">Individuals as % of gross loans </t>
  </si>
  <si>
    <t xml:space="preserve">Individuals as % of customer deposits </t>
  </si>
  <si>
    <t xml:space="preserve">Balance sheet structure </t>
  </si>
  <si>
    <t xml:space="preserve">Industry breakdown </t>
  </si>
  <si>
    <t xml:space="preserve">Кредитный портфель </t>
  </si>
  <si>
    <t xml:space="preserve">Manufacturing </t>
  </si>
  <si>
    <t xml:space="preserve">Individuals </t>
  </si>
  <si>
    <t xml:space="preserve">Administrations </t>
  </si>
  <si>
    <t xml:space="preserve">Retail and wholesale trade </t>
  </si>
  <si>
    <t xml:space="preserve">Financial companies </t>
  </si>
  <si>
    <t xml:space="preserve">Construction </t>
  </si>
  <si>
    <t xml:space="preserve">Agriculture </t>
  </si>
  <si>
    <t xml:space="preserve">Transport </t>
  </si>
  <si>
    <t xml:space="preserve">Other loans </t>
  </si>
  <si>
    <t xml:space="preserve">Total </t>
  </si>
  <si>
    <t xml:space="preserve">Provisions for loan impairment </t>
  </si>
  <si>
    <t xml:space="preserve">Provisions for loan impairment at the end of the period </t>
  </si>
  <si>
    <t xml:space="preserve">Outstanding loans at the end of the period </t>
  </si>
  <si>
    <t xml:space="preserve">    including non performing loans </t>
  </si>
  <si>
    <t xml:space="preserve">Non performing loans as a percent of the total portfolio, % </t>
  </si>
  <si>
    <t xml:space="preserve">Provisions as a percent of the total portfolio , % </t>
  </si>
  <si>
    <t xml:space="preserve">    corporate, % </t>
  </si>
  <si>
    <t xml:space="preserve">    individual, % </t>
  </si>
  <si>
    <t xml:space="preserve">Provisions as a percent of non performing, % </t>
  </si>
  <si>
    <t xml:space="preserve">    legal entities </t>
  </si>
  <si>
    <t xml:space="preserve">    retail </t>
  </si>
  <si>
    <t xml:space="preserve">Loan portfolio by type of client </t>
  </si>
  <si>
    <t xml:space="preserve">Крединый портфель по типу клиентов </t>
  </si>
  <si>
    <t xml:space="preserve">SME </t>
  </si>
  <si>
    <t xml:space="preserve">Large corporate clients </t>
  </si>
  <si>
    <t xml:space="preserve">Loan portfolio by region </t>
  </si>
  <si>
    <t xml:space="preserve">Moscow </t>
  </si>
  <si>
    <t xml:space="preserve">Moscow Oblast </t>
  </si>
  <si>
    <t xml:space="preserve">Other regions </t>
  </si>
  <si>
    <t xml:space="preserve">Retail loans by type </t>
  </si>
  <si>
    <t xml:space="preserve">Mortgages </t>
  </si>
  <si>
    <t xml:space="preserve">Credit cards </t>
  </si>
  <si>
    <t xml:space="preserve">Car loans </t>
  </si>
  <si>
    <t xml:space="preserve">Consumer loans </t>
  </si>
  <si>
    <t xml:space="preserve">Corporate loans - large </t>
  </si>
  <si>
    <t>Corporate loans - medium and small</t>
  </si>
  <si>
    <t xml:space="preserve">Mortgage loans </t>
  </si>
  <si>
    <t xml:space="preserve">Other loans to individuals </t>
  </si>
  <si>
    <t xml:space="preserve">Total loans </t>
  </si>
  <si>
    <t xml:space="preserve">Less: Provision for loan impairment </t>
  </si>
  <si>
    <t xml:space="preserve">Total loans and advances to customers less provision for loan impairment </t>
  </si>
  <si>
    <t xml:space="preserve">Provision for loan impairment by type of clients </t>
  </si>
  <si>
    <t xml:space="preserve">Corporate loans </t>
  </si>
  <si>
    <t xml:space="preserve">Retail loans </t>
  </si>
  <si>
    <t xml:space="preserve">Analysis by credit quality of loans outstanding </t>
  </si>
  <si>
    <t xml:space="preserve">Current and not impaired </t>
  </si>
  <si>
    <t xml:space="preserve">Past due but not impaired </t>
  </si>
  <si>
    <t xml:space="preserve">    less than 30 days overdue </t>
  </si>
  <si>
    <t xml:space="preserve">    more than 30 days overdue </t>
  </si>
  <si>
    <t xml:space="preserve">Impaired loans </t>
  </si>
  <si>
    <t xml:space="preserve">Обесцененные </t>
  </si>
  <si>
    <t xml:space="preserve">Less provisions for loan impairment </t>
  </si>
  <si>
    <t xml:space="preserve">Total loans and advances to customers </t>
  </si>
  <si>
    <t xml:space="preserve">in % </t>
  </si>
  <si>
    <t xml:space="preserve">Сredit Quality &amp; Concentration  </t>
  </si>
  <si>
    <t xml:space="preserve">loans to 10 largest borrowers / Total Gross Loans </t>
  </si>
  <si>
    <t xml:space="preserve">Movement of the provision for loan impairment </t>
  </si>
  <si>
    <t xml:space="preserve">Amounts written off during the period as uncollectible </t>
  </si>
  <si>
    <t xml:space="preserve">Corporate loans - small and medium </t>
  </si>
  <si>
    <t xml:space="preserve">Corporate client funds </t>
  </si>
  <si>
    <t xml:space="preserve">Retail funds </t>
  </si>
  <si>
    <t xml:space="preserve">Funds of Government and state organizations </t>
  </si>
  <si>
    <t xml:space="preserve">Corporate client funds, including </t>
  </si>
  <si>
    <t xml:space="preserve">         current accounts </t>
  </si>
  <si>
    <t xml:space="preserve">         deposits </t>
  </si>
  <si>
    <t xml:space="preserve">Retail funds, including </t>
  </si>
  <si>
    <t xml:space="preserve">        balances on debit cards </t>
  </si>
  <si>
    <t xml:space="preserve">Funds of Government and state organizations, including </t>
  </si>
  <si>
    <t xml:space="preserve">Breakdown of retail funds by current maturity </t>
  </si>
  <si>
    <t xml:space="preserve">Less than 1 month </t>
  </si>
  <si>
    <t xml:space="preserve">1-6 months </t>
  </si>
  <si>
    <t xml:space="preserve">6-12 months </t>
  </si>
  <si>
    <t xml:space="preserve">Over 12 months </t>
  </si>
  <si>
    <t xml:space="preserve">Capital adequacy </t>
  </si>
  <si>
    <t xml:space="preserve">Tier 1 capital </t>
  </si>
  <si>
    <t xml:space="preserve">Tier 2 capital </t>
  </si>
  <si>
    <t xml:space="preserve">Total tier 1 and tier 2 capital </t>
  </si>
  <si>
    <t xml:space="preserve">Less </t>
  </si>
  <si>
    <t xml:space="preserve"> - investments to non-consolidated subsidiaries </t>
  </si>
  <si>
    <t xml:space="preserve">Total capital </t>
  </si>
  <si>
    <t xml:space="preserve">tier 1 + tier 2 </t>
  </si>
  <si>
    <t xml:space="preserve">tier 1 </t>
  </si>
  <si>
    <t xml:space="preserve">Interest income </t>
  </si>
  <si>
    <t xml:space="preserve">Interest expense </t>
  </si>
  <si>
    <t xml:space="preserve">Provision for loan impairment </t>
  </si>
  <si>
    <t xml:space="preserve">Net interest income after provision for loan impairment </t>
  </si>
  <si>
    <t xml:space="preserve">Fee and commission income </t>
  </si>
  <si>
    <t xml:space="preserve">Fee and commission expense </t>
  </si>
  <si>
    <t xml:space="preserve">Other operating income </t>
  </si>
  <si>
    <t xml:space="preserve">Operating income </t>
  </si>
  <si>
    <t xml:space="preserve">Administrative and other operating expenses </t>
  </si>
  <si>
    <t xml:space="preserve">Provision for impairment of other assets </t>
  </si>
  <si>
    <t xml:space="preserve">Profit before tax </t>
  </si>
  <si>
    <t xml:space="preserve">Income tax expense </t>
  </si>
  <si>
    <t xml:space="preserve">Ordinary shares </t>
  </si>
  <si>
    <t xml:space="preserve">Income statement ratios </t>
  </si>
  <si>
    <t xml:space="preserve">Сost to income ratio </t>
  </si>
  <si>
    <t xml:space="preserve">Net profit per average employee in thousand RR </t>
  </si>
  <si>
    <t xml:space="preserve">Taxation/Profit before tax </t>
  </si>
  <si>
    <t xml:space="preserve">Yields on net earning assets </t>
  </si>
  <si>
    <t xml:space="preserve">Cost of funds </t>
  </si>
  <si>
    <t xml:space="preserve">Interest Spread </t>
  </si>
  <si>
    <t xml:space="preserve">    corporate loan portfolio </t>
  </si>
  <si>
    <t xml:space="preserve">    retail loan portfolio </t>
  </si>
  <si>
    <t xml:space="preserve">Provision charges  </t>
  </si>
  <si>
    <t xml:space="preserve">Provision for loan impairment, incl </t>
  </si>
  <si>
    <t xml:space="preserve">Settlement transactions </t>
  </si>
  <si>
    <t xml:space="preserve">Credit/debit cards and cheques settlements </t>
  </si>
  <si>
    <t xml:space="preserve">Payroll projects  </t>
  </si>
  <si>
    <t xml:space="preserve">Cash transactions </t>
  </si>
  <si>
    <t xml:space="preserve">Cash collection </t>
  </si>
  <si>
    <t xml:space="preserve">Retail transaction </t>
  </si>
  <si>
    <t xml:space="preserve">Guarantees issued </t>
  </si>
  <si>
    <t xml:space="preserve">Currency transactions </t>
  </si>
  <si>
    <t xml:space="preserve">Other </t>
  </si>
  <si>
    <t xml:space="preserve">Total fee and commission income </t>
  </si>
  <si>
    <t xml:space="preserve">Fee and commission expenses </t>
  </si>
  <si>
    <t xml:space="preserve">Settlements with currency and stock exchanges </t>
  </si>
  <si>
    <t xml:space="preserve">Total fee and commission expense </t>
  </si>
  <si>
    <t xml:space="preserve">Loans and advances to customers - legal entities </t>
  </si>
  <si>
    <t xml:space="preserve">Loans and advances to customers - individuals </t>
  </si>
  <si>
    <t xml:space="preserve">Correspondent accounts and due from other banks </t>
  </si>
  <si>
    <t xml:space="preserve">Investment securities avialable for sale </t>
  </si>
  <si>
    <t xml:space="preserve">Total interest expenses </t>
  </si>
  <si>
    <t xml:space="preserve">Interest expenses </t>
  </si>
  <si>
    <t xml:space="preserve">Term deposits of individuals </t>
  </si>
  <si>
    <t xml:space="preserve">Term deposits of legal entities </t>
  </si>
  <si>
    <t xml:space="preserve">Current/settlement accounts of legal entities </t>
  </si>
  <si>
    <t xml:space="preserve">Total interest expense </t>
  </si>
  <si>
    <t xml:space="preserve">Breakdown of operational expenses </t>
  </si>
  <si>
    <t xml:space="preserve">Staff costs </t>
  </si>
  <si>
    <t xml:space="preserve">Administrative expenses </t>
  </si>
  <si>
    <t xml:space="preserve">Taxes other than income tax </t>
  </si>
  <si>
    <t xml:space="preserve">Contributions to the State Deposit Insurance Agency </t>
  </si>
  <si>
    <t xml:space="preserve">Depreciation of premises, equipment and amortisation of intangible assets </t>
  </si>
  <si>
    <t xml:space="preserve">Rent </t>
  </si>
  <si>
    <t xml:space="preserve">*Due to change of methodology in Q3, Q4 2010 expenses related to voluntary health insurance were accounted in Personnel expenses, while earlier they were included into Administrative expenses </t>
  </si>
  <si>
    <t xml:space="preserve">Legal entities </t>
  </si>
  <si>
    <t xml:space="preserve">Current accounts </t>
  </si>
  <si>
    <t xml:space="preserve">Personnel efficiency </t>
  </si>
  <si>
    <t xml:space="preserve">Staff costs to total expenses </t>
  </si>
  <si>
    <t xml:space="preserve">Total comprehensive income for 2011  </t>
  </si>
  <si>
    <t xml:space="preserve">Dividends declared </t>
  </si>
  <si>
    <t xml:space="preserve">Balance at December 31, 2011 </t>
  </si>
  <si>
    <t xml:space="preserve">Balance at December 31, 2010 </t>
  </si>
  <si>
    <t xml:space="preserve">Interest received </t>
  </si>
  <si>
    <t xml:space="preserve">Interest paid </t>
  </si>
  <si>
    <t xml:space="preserve">Fees and commissions received </t>
  </si>
  <si>
    <t xml:space="preserve">Fees and commissions paid </t>
  </si>
  <si>
    <t xml:space="preserve">Other operating income received </t>
  </si>
  <si>
    <t xml:space="preserve">Administrative and other operating expenses paid </t>
  </si>
  <si>
    <t xml:space="preserve">Income tax paid </t>
  </si>
  <si>
    <t xml:space="preserve">Cash flows from operating activities before changes in operating assets and liabilities </t>
  </si>
  <si>
    <t xml:space="preserve">Changes in operating assets and liabilities </t>
  </si>
  <si>
    <t xml:space="preserve">Net increase in loans and advances to customers </t>
  </si>
  <si>
    <t xml:space="preserve">Net increase in debt securities in issue </t>
  </si>
  <si>
    <t xml:space="preserve">Cash flows from investing activities </t>
  </si>
  <si>
    <t xml:space="preserve">Acquisition of investment securities available for sale </t>
  </si>
  <si>
    <t xml:space="preserve">Proceeds from disposal of investment securities available for sale </t>
  </si>
  <si>
    <t xml:space="preserve">Acquisition of investment securities held to maturity </t>
  </si>
  <si>
    <t xml:space="preserve">Proceeds from disposal of investment properties </t>
  </si>
  <si>
    <t xml:space="preserve">Proceeds from disposal of non-current assets available for sale </t>
  </si>
  <si>
    <t xml:space="preserve">Dividend income received </t>
  </si>
  <si>
    <t xml:space="preserve">Effect of exchange rate changes on cash and cash equivalents </t>
  </si>
  <si>
    <t xml:space="preserve">Cash and cash equivalents at the beginning of the year </t>
  </si>
  <si>
    <t xml:space="preserve">Cash and cash equivalents at the end of the financial period </t>
  </si>
  <si>
    <t>Активы</t>
  </si>
  <si>
    <t>Денежные средства и их эквиваленты</t>
  </si>
  <si>
    <t>Обязательные резервы на счетах в Центральном Банке Российской Федерации</t>
  </si>
  <si>
    <t>Торговые ценные бумаги</t>
  </si>
  <si>
    <t>Средства в других банках</t>
  </si>
  <si>
    <t>Кредиты и авансы клиентам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</si>
  <si>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</si>
  <si>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</si>
  <si>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Основные средства и нематериальные активы</t>
  </si>
  <si>
    <t>Прочие финансовые активы</t>
  </si>
  <si>
    <t>Прочие активы</t>
  </si>
  <si>
    <t>Итого активов</t>
  </si>
  <si>
    <t>Обязательства</t>
  </si>
  <si>
    <t>Средства других банков</t>
  </si>
  <si>
    <t>Выпущенные долговые ценные бумаги</t>
  </si>
  <si>
    <t>Субординированные депозиты</t>
  </si>
  <si>
    <t>Синдицированные кредиты</t>
  </si>
  <si>
    <t>Прочие финансовые обязательства</t>
  </si>
  <si>
    <t>Прочие обязательства</t>
  </si>
  <si>
    <t>Итого обязательств</t>
  </si>
  <si>
    <t>Собственные средства</t>
  </si>
  <si>
    <t>Эмиссионный доход</t>
  </si>
  <si>
    <t>Нераспределенная прибыль</t>
  </si>
  <si>
    <t>Балансовые показатели</t>
  </si>
  <si>
    <t>Отношение кредитов клиентов к депозитам клиентов</t>
  </si>
  <si>
    <t>Отношение средств других банков к средствам в других банках</t>
  </si>
  <si>
    <t>Доля розничных кредитов в сумме выданных кредитов</t>
  </si>
  <si>
    <t>Доля средств физических лиц в сумме клиентских средств</t>
  </si>
  <si>
    <t>Структура Баланса</t>
  </si>
  <si>
    <t>Производство</t>
  </si>
  <si>
    <t>Физические лица</t>
  </si>
  <si>
    <t>Администрации</t>
  </si>
  <si>
    <t>Торговля</t>
  </si>
  <si>
    <t>Финансовые организации</t>
  </si>
  <si>
    <t>Строительство</t>
  </si>
  <si>
    <t>Сельское хозяйство</t>
  </si>
  <si>
    <t>Транспорт</t>
  </si>
  <si>
    <t>Прочие кредиты</t>
  </si>
  <si>
    <t>Итого</t>
  </si>
  <si>
    <t>Резервы под обесценение кредитного портфеля</t>
  </si>
  <si>
    <t>СМП</t>
  </si>
  <si>
    <t>Крупнейшие корпоративные клиенты</t>
  </si>
  <si>
    <t>Кредитный портфель по регионам</t>
  </si>
  <si>
    <t>Москва</t>
  </si>
  <si>
    <t>Прочие регионы</t>
  </si>
  <si>
    <t>Кредитный портфель по типу кредитов</t>
  </si>
  <si>
    <t>Корпоративные кредиты - крупные</t>
  </si>
  <si>
    <t>Ипотечные кредиты</t>
  </si>
  <si>
    <t>Другие кредиты физическим лицам</t>
  </si>
  <si>
    <t>Итого кредитов и авансов клиентам</t>
  </si>
  <si>
    <t>За вычетом резерва под обесценение</t>
  </si>
  <si>
    <t>Итого кредитов и авансов клиентам за вычетом резерва под обесценение</t>
  </si>
  <si>
    <t>Корпоративные кредиты</t>
  </si>
  <si>
    <t>Розничные кредиты</t>
  </si>
  <si>
    <t>Текущие и необесцененные</t>
  </si>
  <si>
    <t>Просроченные, но не обесцененные</t>
  </si>
  <si>
    <t>в %</t>
  </si>
  <si>
    <t>Качество кредитов и концентрация</t>
  </si>
  <si>
    <t>Разбивка средств клиентов</t>
  </si>
  <si>
    <t>Средства корпоративных клиентов</t>
  </si>
  <si>
    <t>Средства частных клиентов</t>
  </si>
  <si>
    <t>Средства государственных и общественных организаций</t>
  </si>
  <si>
    <t xml:space="preserve">Средства корпоративных клиентов, в т.ч. </t>
  </si>
  <si>
    <t>До востребования и менее 1 месяца</t>
  </si>
  <si>
    <t>От  1 до 6 месяцев</t>
  </si>
  <si>
    <t>От 6 до 12 месяцев</t>
  </si>
  <si>
    <t>Свыше 12 месяцев</t>
  </si>
  <si>
    <t>Расчет достаточности капитала</t>
  </si>
  <si>
    <t>Капитал первого уровня</t>
  </si>
  <si>
    <t>Капитал второго уровня</t>
  </si>
  <si>
    <t>Итого капитала первого и второго уровня</t>
  </si>
  <si>
    <t>За вычетом:</t>
  </si>
  <si>
    <t>Итого капитала</t>
  </si>
  <si>
    <t>Первого и второго уровня</t>
  </si>
  <si>
    <t>Первого уровня</t>
  </si>
  <si>
    <t>Процентные расходы</t>
  </si>
  <si>
    <t>Чистые процентные доходы</t>
  </si>
  <si>
    <t>Резерв под обесценение кредитного портфеля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</si>
  <si>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</si>
  <si>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</si>
  <si>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</si>
  <si>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Прочие операционные доходы</t>
  </si>
  <si>
    <t>Операционные доходы</t>
  </si>
  <si>
    <t>Административные и прочие операционные расходы</t>
  </si>
  <si>
    <t>Резерв под обесценение прочих активов</t>
  </si>
  <si>
    <t>Прибыль до налогообложения</t>
  </si>
  <si>
    <t>Расходы по налогу на прибыль</t>
  </si>
  <si>
    <t xml:space="preserve">Чистая прибыль </t>
  </si>
  <si>
    <t>Обыкновенные акции</t>
  </si>
  <si>
    <t>Показатели отчета о прибылях и убытках</t>
  </si>
  <si>
    <t xml:space="preserve">Показатель затрат к доходам до вычета резервов </t>
  </si>
  <si>
    <t>Чистый доход на сотрудника  в тыс.руб.</t>
  </si>
  <si>
    <t>Отношение налогов к прибыли до налогообложения</t>
  </si>
  <si>
    <t>Процентная доходность работающих активов после вычета резервов</t>
  </si>
  <si>
    <t>Стоимость ресурсов</t>
  </si>
  <si>
    <t>Процентный спред</t>
  </si>
  <si>
    <t>Отчисления в резерв</t>
  </si>
  <si>
    <t>Резерв под обесценение кредитного портфеля, в т.ч.</t>
  </si>
  <si>
    <t xml:space="preserve">Комиссии по расчетным операциям </t>
  </si>
  <si>
    <t>Комиссии по расчетам пластиковыми картами и чеками</t>
  </si>
  <si>
    <t>Комиссии по зарплатным проектам</t>
  </si>
  <si>
    <t>Комиссии по кассовым операциям</t>
  </si>
  <si>
    <t xml:space="preserve">Комиссии за инкассацию </t>
  </si>
  <si>
    <t>Комиссии по розничному бизнесу</t>
  </si>
  <si>
    <t>Комиссии по выданным гарантиям</t>
  </si>
  <si>
    <t>Комиссии по валютным операциям</t>
  </si>
  <si>
    <t>Прочее</t>
  </si>
  <si>
    <t>Итого комиссионных доходов</t>
  </si>
  <si>
    <t xml:space="preserve">Комиссии по кассовым операциям </t>
  </si>
  <si>
    <t>Комиссии по расчетным операциям</t>
  </si>
  <si>
    <t>Расчеты с валютными и фондовыми биржами</t>
  </si>
  <si>
    <t>Итого комиссионных расходов</t>
  </si>
  <si>
    <t>Чистые комиссионные доходы</t>
  </si>
  <si>
    <t>Процентные доходы</t>
  </si>
  <si>
    <t>Кредиты и авансы клиентам - юридическим лицам</t>
  </si>
  <si>
    <t>Кредиты и авансы клиентам - физическим лицам</t>
  </si>
  <si>
    <t>Корреспондентские счета и средства в других банках</t>
  </si>
  <si>
    <t>Итого процентных доходов</t>
  </si>
  <si>
    <t>Срочные вклады физических лиц</t>
  </si>
  <si>
    <t>Срочные депозиты юридических лиц</t>
  </si>
  <si>
    <t>Текущие/расчетные счета юридических лиц</t>
  </si>
  <si>
    <t>Итого процентных расходов</t>
  </si>
  <si>
    <t>Разбивка операционных расходов</t>
  </si>
  <si>
    <t>Расходы на персонал</t>
  </si>
  <si>
    <t>Административные расходы</t>
  </si>
  <si>
    <t>Взносы в Агентство по страхованию вкладов</t>
  </si>
  <si>
    <t>Амортизация</t>
  </si>
  <si>
    <t>Аренда</t>
  </si>
  <si>
    <t>В связи с изменением методологии в 3кв, 4кв 2010 г. расходы на добровольное медицинское страхование сотрудников учитываются в статье "Расходы на персонал", а ранее входили в состав "Административных расходов"</t>
  </si>
  <si>
    <t>Юр.лица</t>
  </si>
  <si>
    <t>Физ.лица</t>
  </si>
  <si>
    <t>Срочные депозиты физических лиц</t>
  </si>
  <si>
    <t>Текущие/расчетные счета</t>
  </si>
  <si>
    <t>Эффективность персонала</t>
  </si>
  <si>
    <t>Отношение расходов на персонал к общим расходам</t>
  </si>
  <si>
    <t>Остаток на 31 декабря 2010 года</t>
  </si>
  <si>
    <t>Дивиденды объявленные</t>
  </si>
  <si>
    <t>Остаток на 31 декабря 2011 года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</si>
  <si>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</si>
  <si>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</si>
  <si>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</si>
  <si>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</si>
  <si>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Прочие полученные операционные доходы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</si>
  <si>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</si>
  <si>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</si>
  <si>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</si>
  <si>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</si>
  <si>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прирост по кредитам и авансам клиентам</t>
  </si>
  <si>
    <t>Чистый прирост по выпущенным долговым ценным бумагам</t>
  </si>
  <si>
    <t>Денежные средства от инвестиционной деятельности</t>
  </si>
  <si>
    <t>Приобретение инвестиционных ценных бумаг, удерживаемых до погашения</t>
  </si>
  <si>
    <t>Выручка от реализации долгосрочных активов, предназначенных для продажи</t>
  </si>
  <si>
    <t>Дивиденды полученные</t>
  </si>
  <si>
    <t>Влияние изменений обменного курса на денежные средства и их эквиваленты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</si>
  <si>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</si>
  <si>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</si>
  <si>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>Есть перевод?</t>
  </si>
  <si>
    <t>Резерв под обесценение кредитного портфеля на конец периода</t>
  </si>
  <si>
    <t>Сумма выданных кредитов на конец периода</t>
  </si>
  <si>
    <t>Удельный вес проблемных кредитов в общей сумме кредитов</t>
  </si>
  <si>
    <t>Отношение суммы резерва к выданным кредитам</t>
  </si>
  <si>
    <t>Отношение суммы резерва к проблемным кредитам</t>
  </si>
  <si>
    <t>Анализ кредитов по кредитному качеству</t>
  </si>
  <si>
    <t>Резерв под обесценение по типу клиентов</t>
  </si>
  <si>
    <t>Отношение 10 крупнейших заемщиков к сумме выданных кредитов</t>
  </si>
  <si>
    <t>Изменение резерва под обесценение кредитного портфеля</t>
  </si>
  <si>
    <t>Средства, списанные в течение отчетного периода как безнадежные</t>
  </si>
  <si>
    <t>Резерв под обесценение кредитного портфеля на отчетную дату</t>
  </si>
  <si>
    <t>Отчисления/(Восстановление) в резерв под обесценение кредитного портфеля в течение отчетного периода</t>
  </si>
  <si>
    <t>Разбивка средств розничных клиентов по срокам до погашения</t>
  </si>
  <si>
    <t>Capital adequacy ratio (%)</t>
  </si>
  <si>
    <t>Коэффициент достаточности капитала</t>
  </si>
  <si>
    <t>Staff, admin &amp; pension costs per average employee (thsd rub. Per month)</t>
  </si>
  <si>
    <t>Затраты (зарплата, отчисления и административные)  на сотрудника  в месяц,  в тыс. руб.</t>
  </si>
  <si>
    <t>Earnings per share for profit attributable to the equity holders of the Bank, basic and diluted (expressed in RR per share)</t>
  </si>
  <si>
    <t>Average headcount per quarter (people)</t>
  </si>
  <si>
    <t>Среднесписочная численность работников за квартал (чел.)</t>
  </si>
  <si>
    <t>Staff costs per average employee (MRUR)</t>
  </si>
  <si>
    <t>Расходы на одного одного сотрудника  в месяц, в тыс. руб.</t>
  </si>
  <si>
    <t>Корпоративные кредиты - средние и малые</t>
  </si>
  <si>
    <t xml:space="preserve">Денежные средства от операционной деятельности </t>
  </si>
  <si>
    <t>Share capital</t>
  </si>
  <si>
    <t>Share premium</t>
  </si>
  <si>
    <t xml:space="preserve">Assets </t>
  </si>
  <si>
    <t xml:space="preserve">Total assets </t>
  </si>
  <si>
    <t xml:space="preserve">Total liabilities </t>
  </si>
  <si>
    <t>Содержание</t>
  </si>
  <si>
    <t>Contents</t>
  </si>
  <si>
    <t>English</t>
  </si>
  <si>
    <t>Русский</t>
  </si>
  <si>
    <t>Total assets per employee (MRUR)</t>
  </si>
  <si>
    <t>Итого активов на сотрудника, млн.руб.</t>
  </si>
  <si>
    <t>Результат от выбытия кредитов по цессии</t>
  </si>
  <si>
    <t>Московская область</t>
  </si>
  <si>
    <t>Базовая и разводненная прибыль на акцию для прибыли, принадлежащей акционерам Банка 
(в российских рублях за акцию)</t>
  </si>
  <si>
    <t>Денежные средства от финансовой деятельности</t>
  </si>
  <si>
    <t>Дивиденды уплаченные</t>
  </si>
  <si>
    <t>да</t>
  </si>
  <si>
    <t>Cash flows from financing activities</t>
  </si>
  <si>
    <t>Dividends paid</t>
  </si>
  <si>
    <t>Results from disposal of loans under cession agreements</t>
  </si>
  <si>
    <t>Branches and offices at the end of the period</t>
  </si>
  <si>
    <t xml:space="preserve">Provision/(Recovery) for loan impairment during the period </t>
  </si>
  <si>
    <t xml:space="preserve">Breakdown of client funds </t>
  </si>
  <si>
    <t xml:space="preserve">Net profit </t>
  </si>
  <si>
    <t>Итого совокупный доход за 2011 год</t>
  </si>
  <si>
    <t>Итого совокупный доход за 2012 год</t>
  </si>
  <si>
    <t xml:space="preserve">Total comprehensive income for 2012  </t>
  </si>
  <si>
    <t>Прочие заемные средства</t>
  </si>
  <si>
    <t>Other borrowed funds</t>
  </si>
  <si>
    <t>Other</t>
  </si>
  <si>
    <t xml:space="preserve">Balance at December 31, 2012 </t>
  </si>
  <si>
    <t>Receipt of subordinated loans</t>
  </si>
  <si>
    <t>Repayment of subordinated loans</t>
  </si>
  <si>
    <t>Недвижимость</t>
  </si>
  <si>
    <t>Real estate</t>
  </si>
  <si>
    <t>Баланс</t>
  </si>
  <si>
    <t xml:space="preserve">Provision for loan impairment at January 1, 2013 </t>
  </si>
  <si>
    <t>Резерв под обесценение кредитного портфеля на 1 января 2013 года</t>
  </si>
  <si>
    <t>Остаток на 31 декабря 2012 года</t>
  </si>
  <si>
    <t xml:space="preserve">Total comprehensive income for 2013  </t>
  </si>
  <si>
    <t>Итого совокупный доход за 2013 год</t>
  </si>
  <si>
    <t xml:space="preserve">Acquisition of premises and equipment </t>
  </si>
  <si>
    <t xml:space="preserve">Proceeds from disposal of premises and equipment </t>
  </si>
  <si>
    <t xml:space="preserve">Приобретение основных средств </t>
  </si>
  <si>
    <t xml:space="preserve">Выручка от реализации основных средств </t>
  </si>
  <si>
    <t>Net cash used in investing activities</t>
  </si>
  <si>
    <t>Чистые денежные средства, использованные в инвестиционной деятельности</t>
  </si>
  <si>
    <t>Provision for loan impairement for reporting date</t>
  </si>
  <si>
    <t>Revaluation reserve for investment securities available for sale</t>
  </si>
  <si>
    <t>Акционерный капитал</t>
  </si>
  <si>
    <t>Средства государственных и общественных организаций, в т.ч.</t>
  </si>
  <si>
    <t>Средства частных клиентов, в т.ч.</t>
  </si>
  <si>
    <t>ИТОГО АКТИВЫ</t>
  </si>
  <si>
    <t>ИТОГО ОБЯЗАТЕЛЬСТВА</t>
  </si>
  <si>
    <t>ИТОГО КАПИТАЛ</t>
  </si>
  <si>
    <t>ИТОГО ОБЯЗАТЕЛЬСТВА И КАПИТАЛ</t>
  </si>
  <si>
    <t>Отчет об изменениях в капитале</t>
  </si>
  <si>
    <t>Погашение фондирования от международного финансового института</t>
  </si>
  <si>
    <t>Repayment of funding from international financial institution</t>
  </si>
  <si>
    <t>Other costs relating to premises, equipment</t>
  </si>
  <si>
    <t>Прочие затраты по ОС</t>
  </si>
  <si>
    <t>Чистые доходы, полученные по операциям с торговыми ценными бумагами</t>
  </si>
  <si>
    <t>Net income received from trading securities</t>
  </si>
  <si>
    <t>Чистые доходы, полученные по операциям с иностранной валютой</t>
  </si>
  <si>
    <t xml:space="preserve">Net income received from trading in foreign currencies </t>
  </si>
  <si>
    <t xml:space="preserve">Net increase in other assets </t>
  </si>
  <si>
    <t>Net cash (used in)/from financing activities</t>
  </si>
  <si>
    <t>Чистые денежные средства, (использованные в)/полученные от финансовой деятельности</t>
  </si>
  <si>
    <t>Выбор языка</t>
  </si>
  <si>
    <t>Choose language</t>
  </si>
  <si>
    <t>млн рублей</t>
  </si>
  <si>
    <t xml:space="preserve"> - large corporate clients</t>
  </si>
  <si>
    <t xml:space="preserve"> - SMEs</t>
  </si>
  <si>
    <t xml:space="preserve"> - крупные корпоративные клиенты</t>
  </si>
  <si>
    <t xml:space="preserve"> - малые и средние</t>
  </si>
  <si>
    <t xml:space="preserve">         расчетные счета</t>
  </si>
  <si>
    <t xml:space="preserve">         депозиты</t>
  </si>
  <si>
    <t xml:space="preserve">         остатки на карточных счетах</t>
  </si>
  <si>
    <t xml:space="preserve"> - Инвестиций в неконсолидированные дочерние компании</t>
  </si>
  <si>
    <t xml:space="preserve">    корпоративный портфель</t>
  </si>
  <si>
    <t xml:space="preserve">    розничный портфель</t>
  </si>
  <si>
    <t>Квартальные данные, млн руб.</t>
  </si>
  <si>
    <t>Quarterly data, Rub mln</t>
  </si>
  <si>
    <t>Y-t-D data, Rub mln</t>
  </si>
  <si>
    <t>Данные с начала года, млн руб.</t>
  </si>
  <si>
    <t>Квартальные данные, %</t>
  </si>
  <si>
    <t>Quarterly data, %</t>
  </si>
  <si>
    <t>Y-t-D data, %</t>
  </si>
  <si>
    <t>Данные с начала года, %</t>
  </si>
  <si>
    <t>Прочие налоги, кроме налога на прибыль</t>
  </si>
  <si>
    <t xml:space="preserve">Balance at December 31, 2013 </t>
  </si>
  <si>
    <t>Остаток на 31 декабря 2013 года</t>
  </si>
  <si>
    <t>Balance at December 31, 2012</t>
  </si>
  <si>
    <t>Чистое снижение/(прирост) по обязательным резервам в Центральном банке Российской Федерации</t>
  </si>
  <si>
    <t xml:space="preserve">Net decrease/(increase) in mandatory cash balances with the Central Bank of the Russian Federation </t>
  </si>
  <si>
    <t xml:space="preserve">Net decrease in trading securities </t>
  </si>
  <si>
    <t>Чистое снижение по торговым ценным бумагам</t>
  </si>
  <si>
    <t>Чистое снижение/(прирост) по средствам в других банках</t>
  </si>
  <si>
    <t xml:space="preserve">Net decrease/(increase) in due from other banks </t>
  </si>
  <si>
    <t>Чистое снижение/(прирост) по прочим финансовым активам</t>
  </si>
  <si>
    <t xml:space="preserve">Net decrease/(increase) in other financial assets </t>
  </si>
  <si>
    <t>Чистый прирост по прочим активам</t>
  </si>
  <si>
    <t>Чистый прирост по средствам других банков</t>
  </si>
  <si>
    <t>Net increase in due to other banks</t>
  </si>
  <si>
    <t>Чистое (снижение)/прирост по средствам клиентов</t>
  </si>
  <si>
    <t xml:space="preserve">Net (decrease)/increase in customer accounts </t>
  </si>
  <si>
    <t>Net increase in other borrowed funds</t>
  </si>
  <si>
    <t>Чистый прирост по прочим заемным средствам</t>
  </si>
  <si>
    <t xml:space="preserve">Net decrease in other financial liabilities </t>
  </si>
  <si>
    <t>Чистое снижение по прочим финансовым обязательствам</t>
  </si>
  <si>
    <t>Чистый прирост по прочим обязательствам</t>
  </si>
  <si>
    <t xml:space="preserve">Net increase in other liabilities </t>
  </si>
  <si>
    <t>Выручка от реализации инвестиционного имущества</t>
  </si>
  <si>
    <t>Чистые денежные средства, (использованные в)/полученные от операционной деятельности</t>
  </si>
  <si>
    <t>Net cash (used in)/from operating activities</t>
  </si>
  <si>
    <t>Привлечение субординированных депозитов</t>
  </si>
  <si>
    <t>Погашение субординированных депозитов</t>
  </si>
  <si>
    <t>Net (decrease)/increase in cash and cash equivalents</t>
  </si>
  <si>
    <t>Чистое (снижение)/прирост денежных средств и их эквивалентов</t>
  </si>
  <si>
    <t>Отношение отчислений в резерв к среднему кредитному портфелю (Стоимость риска)</t>
  </si>
  <si>
    <t>Provision charge/ Avg Loan Portfolio (Cost of risk)</t>
  </si>
  <si>
    <t xml:space="preserve">      отношение резерва по корпоративным кредитам к выданным кредитам</t>
  </si>
  <si>
    <t xml:space="preserve">      отношение резерва по розничным кредитам к выданным кредитам</t>
  </si>
  <si>
    <t>Фонд переоценки инвестиционных ценных бумаг, имеющихся в наличии для продажи</t>
  </si>
  <si>
    <t>Приобретение инвестиционных ценных бумаг, имеющихся в наличии для продажи</t>
  </si>
  <si>
    <t>Выручка от реализации инвестиционных ценных бумаг, имеющихся в наличии для продажи</t>
  </si>
  <si>
    <t xml:space="preserve">Statement of profit or losses and other comprehensive Income </t>
  </si>
  <si>
    <t>Отчет о прибыли или убытке и прочем совокупном доходе</t>
  </si>
  <si>
    <t>Avg Assets *</t>
  </si>
  <si>
    <t>Avg Equity *</t>
  </si>
  <si>
    <t>Average net interest earning assets *</t>
  </si>
  <si>
    <t>Avg  gross Loans *</t>
  </si>
  <si>
    <t>Average interest bearing liabilities *</t>
  </si>
  <si>
    <t>Средние активы *</t>
  </si>
  <si>
    <t>Средние собственные средства *</t>
  </si>
  <si>
    <t>Средние активы, приносящие процентный доход, после вычета резервов *</t>
  </si>
  <si>
    <t>Средний кредитный портфель до резервов *</t>
  </si>
  <si>
    <t>Средние платные пассивы *</t>
  </si>
  <si>
    <t>* Cumulative figures</t>
  </si>
  <si>
    <t>* Кумулятивные показатели</t>
  </si>
  <si>
    <t xml:space="preserve">      корпоративные  </t>
  </si>
  <si>
    <t xml:space="preserve">      розничные</t>
  </si>
  <si>
    <t xml:space="preserve">      в т.ч. сумма проблемных кредитов</t>
  </si>
  <si>
    <t>Ипотека</t>
  </si>
  <si>
    <t>Карты</t>
  </si>
  <si>
    <t>Автокредиты</t>
  </si>
  <si>
    <t>Потребительские кредиты</t>
  </si>
  <si>
    <t xml:space="preserve">    including </t>
  </si>
  <si>
    <t xml:space="preserve">      в том числе</t>
  </si>
  <si>
    <t xml:space="preserve">      с задержкой платежа менее 30 дней</t>
  </si>
  <si>
    <t xml:space="preserve">      с задержкой платежа более 30 дней</t>
  </si>
  <si>
    <t>Net interest margin *</t>
  </si>
  <si>
    <t>Чистая процентная маржа *</t>
  </si>
  <si>
    <t>Базель I</t>
  </si>
  <si>
    <t>Basel I</t>
  </si>
  <si>
    <t>Структура акционерного капитала</t>
  </si>
  <si>
    <t>Ratings</t>
  </si>
  <si>
    <t>Рейтинги</t>
  </si>
  <si>
    <t xml:space="preserve">Statement of profit or loss and other comprehensive Income </t>
  </si>
  <si>
    <t>Rating Type</t>
  </si>
  <si>
    <t>Rating</t>
  </si>
  <si>
    <t>Forecast</t>
  </si>
  <si>
    <t>Долгосрочный кредитный рейтинг контрагента</t>
  </si>
  <si>
    <t>Краткосрочный кредитный рейтинг контрагента</t>
  </si>
  <si>
    <t>Стабильный</t>
  </si>
  <si>
    <t>Рейтинг по национальной шкале</t>
  </si>
  <si>
    <t>Рейтинг банковских депозитов в иностранной валюте</t>
  </si>
  <si>
    <t>Рейтинг банковских депозитов в местной валюте</t>
  </si>
  <si>
    <t>Финансовой устойчивости</t>
  </si>
  <si>
    <t>Рейтинговое Агентство Мудис Интерфакс</t>
  </si>
  <si>
    <t>Долгосрочный кредитный рейтинг по национальной шкале</t>
  </si>
  <si>
    <t>Standard &amp; Poor’s Rating Agency</t>
  </si>
  <si>
    <t>Рейтинговое агентство Standard &amp; Poor’s</t>
  </si>
  <si>
    <t>Moody’s Investors Service Rating Agency</t>
  </si>
  <si>
    <t>Рейтинговое агентство</t>
  </si>
  <si>
    <t>Рейтинговое агентство Moody’s Investors Service</t>
  </si>
  <si>
    <t>Rating Agency</t>
  </si>
  <si>
    <t>Тип рейтинга</t>
  </si>
  <si>
    <t>Рейтинг</t>
  </si>
  <si>
    <t>Прогноз</t>
  </si>
  <si>
    <t>Long-term Counterparty credit rating</t>
  </si>
  <si>
    <t>Short-term Counterparty credit rating</t>
  </si>
  <si>
    <t>Russian national scale rating</t>
  </si>
  <si>
    <t>Foreing Currency Deposit Ratings</t>
  </si>
  <si>
    <t>Local Currency Deposit Ratings</t>
  </si>
  <si>
    <t>Bank Financial Strength</t>
  </si>
  <si>
    <t>Long-term Russian national scale credit rating</t>
  </si>
  <si>
    <t>Moody’s Interfax Rating Agency</t>
  </si>
  <si>
    <t>Stable</t>
  </si>
  <si>
    <t>Share capital structure</t>
  </si>
  <si>
    <t>Mr. Dmitriy L. Orlov</t>
  </si>
  <si>
    <t>Mr. Otar L. Margania</t>
  </si>
  <si>
    <t>Орлов Дмитрий Львович</t>
  </si>
  <si>
    <t>Маргания Отар Леонтьевич</t>
  </si>
  <si>
    <t>Акционеры, доли которых в уставном капитале банка «Возрождение» составляют 5% и более</t>
  </si>
  <si>
    <t>Shareholders owning more than 5 percent of the bank’s authorized capital</t>
  </si>
  <si>
    <t xml:space="preserve">     Share in the authorized capital</t>
  </si>
  <si>
    <t xml:space="preserve">     Share in total volume of voting shares</t>
  </si>
  <si>
    <t xml:space="preserve">     Доля в уставном капитале</t>
  </si>
  <si>
    <t xml:space="preserve">     Доля в общем количестве голосующих акций</t>
  </si>
  <si>
    <t>Net interest margin **</t>
  </si>
  <si>
    <t>Чистая процентная маржа **</t>
  </si>
  <si>
    <t>Yields on loans **</t>
  </si>
  <si>
    <t>Average cost of funds ***</t>
  </si>
  <si>
    <t>Доходность кредитов за квартал **</t>
  </si>
  <si>
    <t>Средняя стоимость заемных средств за квартал ***</t>
  </si>
  <si>
    <t>*** Average cost of funds is calculated as: Quarterly term deposits / Avg quarterly term deposits * 4</t>
  </si>
  <si>
    <t>*** Средняя стоимость заемных средств за квартал считается как: Срочные депозиты за квартал / Средние квартальные срочные депозиты * 4</t>
  </si>
  <si>
    <t>** Доходность кредитов за квартал считается как: Процентные доходы за квартал / Средний чистый портфель * 4</t>
  </si>
  <si>
    <t>** Yields on loans are calculated as: Quarterly interest income / Avg net portfolio * 4</t>
  </si>
  <si>
    <t>* Quarterly net interest margin is calculated as: Quarterly net interest earnings / Avg quarterly assets * 4</t>
  </si>
  <si>
    <t>* Чистая процентная маржа (показатель за квартал) рассчитывается как: Квартальные чистые процентные доходы / Средние квартальные активы * 4</t>
  </si>
  <si>
    <t>** Y-t-D Net interest margin is calculated as: Y-t-D net interest earnings / Avg annualized assets / Months from the beginning of the year * Months in year</t>
  </si>
  <si>
    <t>** Чистая процентная маржа (показатель с начала года) рассчитывается как: Чистые процентные доходы с начала года / Средние годовые активы / Количество месяцев с начала года * Месяцев в году</t>
  </si>
  <si>
    <t>Risk weighted assets (according to the Bank of Russia instructions / Basel I)</t>
  </si>
  <si>
    <t>Активы, взвешенные с учетом риска (в соответствии с инструкциями ЦБ РФ/Базельским соглашением I)</t>
  </si>
  <si>
    <t>Date of latest confirmation</t>
  </si>
  <si>
    <t>Дата последнего подтверждения</t>
  </si>
  <si>
    <t>Date of affirmation</t>
  </si>
  <si>
    <t>Дата присвоения</t>
  </si>
  <si>
    <t>Долгосрочные активы, предназначенные для продажи</t>
  </si>
  <si>
    <t>Отложенный налоговый актив</t>
  </si>
  <si>
    <t>Основные средства</t>
  </si>
  <si>
    <t>Premises and equipment</t>
  </si>
  <si>
    <t>Non-current assets held for sale</t>
  </si>
  <si>
    <t>Deferred income tax asset</t>
  </si>
  <si>
    <t>Gains less losses from trading securities</t>
  </si>
  <si>
    <t>Gains less losses from trading in foreign currencies</t>
  </si>
  <si>
    <t>Impairment of investment securities available for sale</t>
  </si>
  <si>
    <t>Gains less losses from disposals of investment securities available for sale</t>
  </si>
  <si>
    <t>Foreign exchange translation gains less losses</t>
  </si>
  <si>
    <t>Other comprehensive income</t>
  </si>
  <si>
    <t>Items that may be reclassified subsequently to profit or loss</t>
  </si>
  <si>
    <t>Available for sale investments:</t>
  </si>
  <si>
    <t xml:space="preserve"> - Change in revaluation reserve</t>
  </si>
  <si>
    <t xml:space="preserve"> - Income tax recorded directly in other comprehensive income</t>
  </si>
  <si>
    <t>Other comprehensive income for the year</t>
  </si>
  <si>
    <t>Total comprehensive income for the year</t>
  </si>
  <si>
    <t>Доходы за вычетом расходов по операциям с торговыми ценными бумагами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</si>
  <si>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</si>
  <si>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</si>
  <si>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Доходы за вычетом расходов от реализации инвестиционных ценных бумаг, имеющихся в наличии для продажи</t>
  </si>
  <si>
    <t>Обесценение инвестиционных ценных бумаг, имеющихся в наличии для продажи</t>
  </si>
  <si>
    <t>Прочий совокупный доход</t>
  </si>
  <si>
    <t>Статьи, которые впоследствии могут быть переклассифицированы в состав прибыли или убытка</t>
  </si>
  <si>
    <t>Инвестиции, имеющиеся в наличии для продажи</t>
  </si>
  <si>
    <t xml:space="preserve"> - Изменение фонда переоценки</t>
  </si>
  <si>
    <t xml:space="preserve"> - Налог на прибыль, отраженный непосредственно в прочем совокупном доходе</t>
  </si>
  <si>
    <t>Прочий совокупный доход за год</t>
  </si>
  <si>
    <t>Итого совокупный доход за год</t>
  </si>
  <si>
    <t>Прибыль за год</t>
  </si>
  <si>
    <t xml:space="preserve"> -</t>
  </si>
  <si>
    <t>Profit for the year</t>
  </si>
  <si>
    <t>Vozrozhdenie Bank: IFRS Consolidated Financial Statements for FY 2014</t>
  </si>
  <si>
    <t>Банк Возрождение: Консолидированная финансовая отчетность по МСФО за 2014 год</t>
  </si>
  <si>
    <t>155 719</t>
  </si>
  <si>
    <t>211 006</t>
  </si>
  <si>
    <t>(10 469)</t>
  </si>
  <si>
    <t>(9 532)</t>
  </si>
  <si>
    <t>(3 192)</t>
  </si>
  <si>
    <t>(3 839)</t>
  </si>
  <si>
    <t>(9 364)</t>
  </si>
  <si>
    <t>(8 777)</t>
  </si>
  <si>
    <t>Total comprehensive income for 2014</t>
  </si>
  <si>
    <t>Balance at December 31, 2014</t>
  </si>
  <si>
    <t>Итого совокупный доход за 2014 год</t>
  </si>
  <si>
    <t>Остаток на 31 декабря 2014 года</t>
  </si>
  <si>
    <t>(10 534)</t>
  </si>
  <si>
    <t>(9 486)</t>
  </si>
  <si>
    <t>(8 984)</t>
  </si>
  <si>
    <t>(8 368)</t>
  </si>
  <si>
    <t>(3 827)</t>
  </si>
  <si>
    <t>(18 126)</t>
  </si>
  <si>
    <t>(4 657)</t>
  </si>
  <si>
    <t>(4 845)</t>
  </si>
  <si>
    <t>(3 000)</t>
  </si>
  <si>
    <t>(4 232)</t>
  </si>
  <si>
    <t>(9 818)</t>
  </si>
  <si>
    <t>(13 766)</t>
  </si>
  <si>
    <t>(1 062)</t>
  </si>
  <si>
    <t>(5 093)</t>
  </si>
  <si>
    <t>(1 360)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</si>
</sst>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"/>
    <numFmt numFmtId="171" formatCode="0.000"/>
    <numFmt numFmtId="172" formatCode="[$€-2]\ ###,000_);[Red]\([$€-2]\ ###,000\)"/>
    <numFmt numFmtId="173" formatCode="#,##0;\(#,##0\);&quot;-&quot;"/>
    <numFmt numFmtId="174" formatCode="mmm/yyyy"/>
    <numFmt numFmtId="175" formatCode="0.000%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;\(#,##0.0\);&quot;-&quot;"/>
    <numFmt numFmtId="182" formatCode="#,##0.00;\(#,##0.00\);&quot;-&quot;"/>
    <numFmt numFmtId="183" formatCode="#,##0.000;\(#,##0.000\);&quot;-&quot;"/>
    <numFmt numFmtId="184" formatCode="#,##0.0000;\(#,##0.0000\);&quot;-&quot;"/>
    <numFmt numFmtId="185" formatCode="#,##0.00000;\(#,##0.00000\);&quot;-&quot;"/>
    <numFmt numFmtId="186" formatCode="dd/mm/yy;@"/>
    <numFmt numFmtId="187" formatCode="_-* #,##0.0_р_._-;\-* #,##0.0_р_._-;_-* &quot;-&quot;??_р_._-;_-@_-"/>
    <numFmt numFmtId="188" formatCode="_-* #,##0_р_._-;\-* #,##0_р_._-;_-* &quot;-&quot;??_р_._-;_-@_-"/>
    <numFmt numFmtId="189" formatCode="[$-FC19]dd\ mmmm\ yyyy\ &quot;3.&quot;"/>
    <numFmt numFmtId="190" formatCode="0.00000"/>
    <numFmt numFmtId="191" formatCode="0.0000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#,##0.00000000000000000"/>
    <numFmt numFmtId="199" formatCode="0.0000000"/>
    <numFmt numFmtId="200" formatCode="0.000000"/>
    <numFmt numFmtId="201" formatCode="\ ###,000;\(###,000\)"/>
    <numFmt numFmtId="202" formatCode="\ ###,###;\(###,###\);&quot;-&quot;"/>
    <numFmt numFmtId="203" formatCode="\U\S\D#,###.00"/>
    <numFmt numFmtId="204" formatCode="[$-F400]h:mm:ss\ AM/PM"/>
    <numFmt numFmtId="205" formatCode="#,##0.00,,"/>
    <numFmt numFmtId="206" formatCode="&quot; RUB&quot;\ #,###.00"/>
    <numFmt numFmtId="207" formatCode="\ ###,###.00;\(###,###.00\);&quot;-&quot;"/>
    <numFmt numFmtId="208" formatCode="[&lt;=9999999]###\-####;\(###\)\ ###\-####"/>
    <numFmt numFmtId="209" formatCode="\ ###,###.000;\(###,###.000\);&quot;-&quot;"/>
  </numFmts>
  <fonts count="95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56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color indexed="62"/>
      <name val="Arial"/>
      <family val="2"/>
    </font>
    <font>
      <i/>
      <sz val="11"/>
      <color indexed="56"/>
      <name val="Calibri"/>
      <family val="2"/>
    </font>
    <font>
      <sz val="12"/>
      <name val="Arial Cyr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b/>
      <sz val="10"/>
      <name val="Calibri"/>
      <family val="2"/>
    </font>
    <font>
      <b/>
      <sz val="15"/>
      <color indexed="56"/>
      <name val="Arial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Calibri"/>
      <family val="2"/>
    </font>
    <font>
      <b/>
      <sz val="11"/>
      <color theme="1" tint="0.34999001026153564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0C0E5"/>
        <bgColor indexed="64"/>
      </patternFill>
    </fill>
    <fill>
      <patternFill patternType="solid">
        <fgColor rgb="FFE7E6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A0C0E5"/>
        </stop>
      </gradientFill>
    </fill>
    <fill>
      <gradientFill degree="90">
        <stop position="0">
          <color theme="0"/>
        </stop>
        <stop position="1">
          <color rgb="FFA0C0E5"/>
        </stop>
      </gradientFill>
    </fill>
    <fill>
      <gradientFill degree="90">
        <stop position="0">
          <color rgb="FFA0C0E5"/>
        </stop>
        <stop position="1">
          <color theme="3" tint="0.40000998973846436"/>
        </stop>
      </gradientFill>
    </fill>
    <fill>
      <gradientFill degree="90">
        <stop position="0">
          <color rgb="FFA0C0E5"/>
        </stop>
        <stop position="1">
          <color theme="3" tint="0.40000998973846436"/>
        </stop>
      </gradientFill>
    </fill>
    <fill>
      <gradientFill degree="90">
        <stop position="0">
          <color rgb="FFA0C0E5"/>
        </stop>
        <stop position="1">
          <color theme="3" tint="0.40000998973846436"/>
        </stop>
      </gradientFill>
    </fill>
    <fill>
      <gradientFill degree="90">
        <stop position="0">
          <color rgb="FFA0C0E5"/>
        </stop>
        <stop position="1">
          <color theme="3" tint="0.40000998973846436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double">
        <color theme="1" tint="0.49998000264167786"/>
      </top>
      <bottom style="thin">
        <color theme="1" tint="0.49998000264167786"/>
      </bottom>
    </border>
    <border>
      <left>
        <color indexed="63"/>
      </left>
      <right style="double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theme="1" tint="0.49998000264167786"/>
      </right>
      <top>
        <color indexed="63"/>
      </top>
      <bottom style="double">
        <color theme="1" tint="0.49998000264167786"/>
      </bottom>
    </border>
    <border>
      <left>
        <color indexed="63"/>
      </left>
      <right style="double">
        <color theme="1" tint="0.49998000264167786"/>
      </right>
      <top>
        <color indexed="63"/>
      </top>
      <bottom style="thin">
        <color theme="1" tint="0.49998000264167786"/>
      </bottom>
    </border>
    <border>
      <left style="double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1" tint="0.49998000264167786"/>
      </right>
      <top style="double">
        <color theme="1" tint="0.49998000264167786"/>
      </top>
      <bottom style="thin">
        <color theme="1" tint="0.49998000264167786"/>
      </bottom>
    </border>
    <border>
      <left>
        <color indexed="63"/>
      </left>
      <right style="thick">
        <color rgb="FF58595B"/>
      </right>
      <top>
        <color indexed="63"/>
      </top>
      <bottom>
        <color indexed="63"/>
      </bottom>
    </border>
    <border>
      <left>
        <color indexed="63"/>
      </left>
      <right style="double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double">
        <color theme="1" tint="0.49998000264167786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theme="1" tint="0.49998000264167786"/>
      </right>
      <top style="thin"/>
      <bottom>
        <color indexed="63"/>
      </bottom>
    </border>
    <border>
      <left>
        <color indexed="63"/>
      </left>
      <right style="double">
        <color theme="1" tint="0.49998000264167786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double">
        <color theme="1" tint="0.49998000264167786"/>
      </right>
      <top style="thin"/>
      <bottom style="thin">
        <color theme="1" tint="0.49998000264167786"/>
      </bottom>
    </border>
  </borders>
  <cellStyleXfs count="12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202" fontId="57" fillId="0" borderId="0">
      <alignment/>
      <protection/>
    </xf>
    <xf numFmtId="202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202" fontId="57" fillId="0" borderId="0">
      <alignment/>
      <protection/>
    </xf>
    <xf numFmtId="202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31" borderId="8" applyNumberFormat="0" applyFont="0" applyAlignment="0" applyProtection="0"/>
    <xf numFmtId="0" fontId="57" fillId="31" borderId="8" applyNumberFormat="0" applyFont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71" fillId="33" borderId="0" xfId="82" applyFill="1" applyAlignment="1">
      <alignment wrapText="1"/>
    </xf>
    <xf numFmtId="0" fontId="71" fillId="33" borderId="0" xfId="82" applyFill="1" applyBorder="1" applyAlignment="1">
      <alignment/>
    </xf>
    <xf numFmtId="0" fontId="7" fillId="33" borderId="0" xfId="101" applyFill="1" applyBorder="1">
      <alignment/>
      <protection/>
    </xf>
    <xf numFmtId="0" fontId="7" fillId="33" borderId="0" xfId="101" applyFont="1" applyFill="1">
      <alignment/>
      <protection/>
    </xf>
    <xf numFmtId="0" fontId="7" fillId="33" borderId="0" xfId="101" applyFill="1">
      <alignment/>
      <protection/>
    </xf>
    <xf numFmtId="0" fontId="9" fillId="33" borderId="0" xfId="82" applyFont="1" applyFill="1" applyBorder="1" applyAlignment="1">
      <alignment/>
    </xf>
    <xf numFmtId="173" fontId="71" fillId="33" borderId="0" xfId="82" applyNumberFormat="1" applyFill="1" applyBorder="1" applyAlignment="1">
      <alignment/>
    </xf>
    <xf numFmtId="10" fontId="71" fillId="33" borderId="0" xfId="110" applyNumberFormat="1" applyFont="1" applyFill="1" applyBorder="1" applyAlignment="1">
      <alignment/>
    </xf>
    <xf numFmtId="0" fontId="2" fillId="34" borderId="0" xfId="51" applyFont="1" applyFill="1" applyAlignment="1">
      <alignment/>
      <protection/>
    </xf>
    <xf numFmtId="0" fontId="12" fillId="35" borderId="10" xfId="82" applyFont="1" applyFill="1" applyBorder="1" applyAlignment="1">
      <alignment wrapText="1"/>
    </xf>
    <xf numFmtId="0" fontId="11" fillId="36" borderId="0" xfId="82" applyFont="1" applyFill="1" applyBorder="1" applyAlignment="1">
      <alignment wrapText="1"/>
    </xf>
    <xf numFmtId="0" fontId="12" fillId="36" borderId="0" xfId="82" applyFont="1" applyFill="1" applyBorder="1" applyAlignment="1">
      <alignment wrapText="1"/>
    </xf>
    <xf numFmtId="14" fontId="35" fillId="37" borderId="0" xfId="82" applyNumberFormat="1" applyFont="1" applyFill="1" applyBorder="1" applyAlignment="1">
      <alignment/>
    </xf>
    <xf numFmtId="0" fontId="13" fillId="35" borderId="11" xfId="82" applyFont="1" applyFill="1" applyBorder="1" applyAlignment="1">
      <alignment wrapText="1"/>
    </xf>
    <xf numFmtId="0" fontId="13" fillId="36" borderId="0" xfId="82" applyFont="1" applyFill="1" applyBorder="1" applyAlignment="1">
      <alignment wrapText="1"/>
    </xf>
    <xf numFmtId="173" fontId="11" fillId="36" borderId="0" xfId="51" applyNumberFormat="1" applyFont="1" applyFill="1" applyBorder="1" applyAlignment="1">
      <alignment wrapText="1"/>
      <protection/>
    </xf>
    <xf numFmtId="0" fontId="13" fillId="35" borderId="10" xfId="82" applyFont="1" applyFill="1" applyBorder="1" applyAlignment="1">
      <alignment wrapText="1"/>
    </xf>
    <xf numFmtId="3" fontId="11" fillId="35" borderId="10" xfId="82" applyNumberFormat="1" applyFont="1" applyFill="1" applyBorder="1" applyAlignment="1">
      <alignment wrapText="1"/>
    </xf>
    <xf numFmtId="0" fontId="50" fillId="35" borderId="10" xfId="82" applyFont="1" applyFill="1" applyBorder="1" applyAlignment="1">
      <alignment wrapText="1"/>
    </xf>
    <xf numFmtId="3" fontId="11" fillId="36" borderId="0" xfId="82" applyNumberFormat="1" applyFont="1" applyFill="1" applyBorder="1" applyAlignment="1">
      <alignment wrapText="1"/>
    </xf>
    <xf numFmtId="0" fontId="11" fillId="36" borderId="0" xfId="82" applyFont="1" applyFill="1" applyBorder="1" applyAlignment="1">
      <alignment wrapText="1"/>
    </xf>
    <xf numFmtId="0" fontId="2" fillId="36" borderId="0" xfId="51" applyFont="1" applyFill="1" applyAlignment="1">
      <alignment/>
      <protection/>
    </xf>
    <xf numFmtId="0" fontId="9" fillId="36" borderId="0" xfId="82" applyFont="1" applyFill="1" applyBorder="1" applyAlignment="1">
      <alignment/>
    </xf>
    <xf numFmtId="0" fontId="0" fillId="36" borderId="0" xfId="0" applyFill="1" applyAlignment="1">
      <alignment vertical="center"/>
    </xf>
    <xf numFmtId="14" fontId="35" fillId="37" borderId="0" xfId="82" applyNumberFormat="1" applyFont="1" applyFill="1" applyBorder="1" applyAlignment="1">
      <alignment wrapText="1"/>
    </xf>
    <xf numFmtId="173" fontId="11" fillId="36" borderId="0" xfId="51" applyNumberFormat="1" applyFont="1" applyFill="1" applyBorder="1" applyAlignment="1">
      <alignment wrapText="1"/>
      <protection/>
    </xf>
    <xf numFmtId="0" fontId="0" fillId="36" borderId="0" xfId="0" applyFill="1" applyBorder="1" applyAlignment="1">
      <alignment vertical="center"/>
    </xf>
    <xf numFmtId="0" fontId="11" fillId="36" borderId="0" xfId="82" applyFont="1" applyFill="1" applyBorder="1" applyAlignment="1">
      <alignment/>
    </xf>
    <xf numFmtId="0" fontId="11" fillId="36" borderId="12" xfId="82" applyFont="1" applyFill="1" applyBorder="1" applyAlignment="1">
      <alignment/>
    </xf>
    <xf numFmtId="0" fontId="0" fillId="36" borderId="0" xfId="0" applyFill="1" applyAlignment="1">
      <alignment/>
    </xf>
    <xf numFmtId="3" fontId="11" fillId="36" borderId="0" xfId="82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0" fontId="11" fillId="36" borderId="0" xfId="82" applyFont="1" applyFill="1" applyBorder="1" applyAlignment="1">
      <alignment/>
    </xf>
    <xf numFmtId="0" fontId="7" fillId="36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8" fillId="36" borderId="0" xfId="0" applyFont="1" applyFill="1" applyBorder="1" applyAlignment="1">
      <alignment horizontal="left"/>
    </xf>
    <xf numFmtId="14" fontId="35" fillId="37" borderId="0" xfId="82" applyNumberFormat="1" applyFont="1" applyFill="1" applyBorder="1" applyAlignment="1">
      <alignment horizontal="center" vertical="top" wrapText="1"/>
    </xf>
    <xf numFmtId="3" fontId="11" fillId="36" borderId="0" xfId="82" applyNumberFormat="1" applyFont="1" applyFill="1" applyBorder="1" applyAlignment="1">
      <alignment wrapText="1"/>
    </xf>
    <xf numFmtId="173" fontId="11" fillId="36" borderId="0" xfId="51" applyNumberFormat="1" applyFont="1" applyFill="1" applyBorder="1" applyAlignment="1">
      <alignment horizontal="right" wrapText="1"/>
      <protection/>
    </xf>
    <xf numFmtId="173" fontId="10" fillId="36" borderId="0" xfId="0" applyNumberFormat="1" applyFont="1" applyFill="1" applyBorder="1" applyAlignment="1">
      <alignment horizontal="right"/>
    </xf>
    <xf numFmtId="3" fontId="10" fillId="36" borderId="0" xfId="0" applyNumberFormat="1" applyFont="1" applyFill="1" applyBorder="1" applyAlignment="1">
      <alignment horizontal="right"/>
    </xf>
    <xf numFmtId="0" fontId="10" fillId="36" borderId="0" xfId="0" applyFont="1" applyFill="1" applyBorder="1" applyAlignment="1">
      <alignment horizontal="right"/>
    </xf>
    <xf numFmtId="0" fontId="10" fillId="36" borderId="0" xfId="0" applyFont="1" applyFill="1" applyAlignment="1">
      <alignment horizontal="right"/>
    </xf>
    <xf numFmtId="3" fontId="10" fillId="36" borderId="0" xfId="0" applyNumberFormat="1" applyFont="1" applyFill="1" applyAlignment="1">
      <alignment horizontal="right"/>
    </xf>
    <xf numFmtId="0" fontId="0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3" fontId="12" fillId="35" borderId="10" xfId="82" applyNumberFormat="1" applyFont="1" applyFill="1" applyBorder="1" applyAlignment="1">
      <alignment wrapText="1"/>
    </xf>
    <xf numFmtId="0" fontId="13" fillId="35" borderId="10" xfId="82" applyFont="1" applyFill="1" applyBorder="1" applyAlignment="1">
      <alignment wrapText="1"/>
    </xf>
    <xf numFmtId="0" fontId="13" fillId="36" borderId="0" xfId="82" applyFont="1" applyFill="1" applyBorder="1" applyAlignment="1">
      <alignment wrapText="1"/>
    </xf>
    <xf numFmtId="188" fontId="71" fillId="33" borderId="0" xfId="117" applyNumberFormat="1" applyFont="1" applyFill="1" applyBorder="1" applyAlignment="1">
      <alignment/>
    </xf>
    <xf numFmtId="173" fontId="11" fillId="35" borderId="10" xfId="82" applyNumberFormat="1" applyFont="1" applyFill="1" applyBorder="1" applyAlignment="1">
      <alignment wrapText="1"/>
    </xf>
    <xf numFmtId="0" fontId="11" fillId="0" borderId="0" xfId="82" applyFont="1" applyFill="1" applyBorder="1" applyAlignment="1">
      <alignment wrapText="1"/>
    </xf>
    <xf numFmtId="0" fontId="0" fillId="2" borderId="0" xfId="0" applyFill="1" applyAlignment="1">
      <alignment/>
    </xf>
    <xf numFmtId="0" fontId="14" fillId="14" borderId="0" xfId="0" applyFont="1" applyFill="1" applyAlignment="1">
      <alignment horizontal="center" vertical="center"/>
    </xf>
    <xf numFmtId="0" fontId="0" fillId="7" borderId="0" xfId="0" applyFill="1" applyAlignment="1">
      <alignment/>
    </xf>
    <xf numFmtId="0" fontId="14" fillId="19" borderId="0" xfId="0" applyFont="1" applyFill="1" applyAlignment="1">
      <alignment horizontal="center" vertical="center"/>
    </xf>
    <xf numFmtId="0" fontId="14" fillId="38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7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41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6" borderId="0" xfId="0" applyFont="1" applyFill="1" applyAlignment="1">
      <alignment/>
    </xf>
    <xf numFmtId="0" fontId="0" fillId="4" borderId="0" xfId="0" applyFill="1" applyAlignment="1">
      <alignment horizontal="center" vertical="center"/>
    </xf>
    <xf numFmtId="0" fontId="0" fillId="11" borderId="0" xfId="0" applyFill="1" applyAlignment="1">
      <alignment horizontal="center"/>
    </xf>
    <xf numFmtId="0" fontId="0" fillId="0" borderId="12" xfId="0" applyBorder="1" applyAlignment="1">
      <alignment/>
    </xf>
    <xf numFmtId="0" fontId="3" fillId="0" borderId="0" xfId="78" applyFont="1" applyFill="1" applyBorder="1" applyAlignment="1">
      <alignment vertical="center"/>
    </xf>
    <xf numFmtId="0" fontId="14" fillId="2" borderId="0" xfId="0" applyFont="1" applyFill="1" applyAlignment="1">
      <alignment/>
    </xf>
    <xf numFmtId="0" fontId="14" fillId="7" borderId="0" xfId="0" applyFont="1" applyFill="1" applyAlignment="1">
      <alignment/>
    </xf>
    <xf numFmtId="0" fontId="0" fillId="7" borderId="0" xfId="0" applyFont="1" applyFill="1" applyAlignment="1">
      <alignment wrapText="1"/>
    </xf>
    <xf numFmtId="170" fontId="0" fillId="42" borderId="0" xfId="0" applyNumberFormat="1" applyFill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ill="1" applyAlignment="1">
      <alignment horizontal="center" vertical="center"/>
    </xf>
    <xf numFmtId="0" fontId="0" fillId="42" borderId="0" xfId="0" applyFont="1" applyFill="1" applyAlignment="1">
      <alignment horizontal="center" vertical="center"/>
    </xf>
    <xf numFmtId="0" fontId="0" fillId="42" borderId="0" xfId="0" applyFill="1" applyAlignment="1">
      <alignment/>
    </xf>
    <xf numFmtId="173" fontId="9" fillId="36" borderId="0" xfId="82" applyNumberFormat="1" applyFont="1" applyFill="1" applyBorder="1" applyAlignment="1">
      <alignment/>
    </xf>
    <xf numFmtId="170" fontId="0" fillId="4" borderId="0" xfId="0" applyNumberFormat="1" applyFill="1" applyAlignment="1">
      <alignment horizontal="center"/>
    </xf>
    <xf numFmtId="0" fontId="14" fillId="42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11" borderId="0" xfId="0" applyNumberFormat="1" applyFill="1" applyAlignment="1">
      <alignment horizontal="center"/>
    </xf>
    <xf numFmtId="170" fontId="0" fillId="41" borderId="0" xfId="0" applyNumberFormat="1" applyFill="1" applyAlignment="1">
      <alignment horizontal="center"/>
    </xf>
    <xf numFmtId="173" fontId="15" fillId="36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6" fillId="34" borderId="0" xfId="51" applyFont="1" applyFill="1" applyAlignment="1">
      <alignment horizontal="right"/>
      <protection/>
    </xf>
    <xf numFmtId="0" fontId="75" fillId="36" borderId="0" xfId="82" applyFont="1" applyFill="1" applyAlignment="1">
      <alignment wrapText="1"/>
    </xf>
    <xf numFmtId="0" fontId="75" fillId="36" borderId="0" xfId="82" applyFont="1" applyFill="1" applyAlignment="1">
      <alignment horizontal="right" vertical="center" wrapText="1"/>
    </xf>
    <xf numFmtId="0" fontId="75" fillId="36" borderId="0" xfId="82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67" fillId="34" borderId="13" xfId="76" applyFill="1" applyBorder="1" applyAlignment="1">
      <alignment/>
    </xf>
    <xf numFmtId="0" fontId="90" fillId="34" borderId="13" xfId="76" applyFont="1" applyFill="1" applyBorder="1" applyAlignment="1">
      <alignment/>
    </xf>
    <xf numFmtId="0" fontId="0" fillId="34" borderId="14" xfId="0" applyFill="1" applyBorder="1" applyAlignment="1">
      <alignment/>
    </xf>
    <xf numFmtId="0" fontId="7" fillId="36" borderId="0" xfId="101" applyFill="1">
      <alignment/>
      <protection/>
    </xf>
    <xf numFmtId="0" fontId="13" fillId="36" borderId="15" xfId="82" applyFont="1" applyFill="1" applyBorder="1" applyAlignment="1">
      <alignment wrapText="1"/>
    </xf>
    <xf numFmtId="0" fontId="13" fillId="35" borderId="16" xfId="82" applyFont="1" applyFill="1" applyBorder="1" applyAlignment="1">
      <alignment wrapText="1"/>
    </xf>
    <xf numFmtId="3" fontId="11" fillId="36" borderId="13" xfId="82" applyNumberFormat="1" applyFont="1" applyFill="1" applyBorder="1" applyAlignment="1">
      <alignment wrapText="1"/>
    </xf>
    <xf numFmtId="0" fontId="0" fillId="0" borderId="0" xfId="0" applyBorder="1" applyAlignment="1">
      <alignment/>
    </xf>
    <xf numFmtId="3" fontId="13" fillId="36" borderId="0" xfId="82" applyNumberFormat="1" applyFont="1" applyFill="1" applyBorder="1" applyAlignment="1">
      <alignment wrapText="1"/>
    </xf>
    <xf numFmtId="0" fontId="11" fillId="35" borderId="11" xfId="82" applyFont="1" applyFill="1" applyBorder="1" applyAlignment="1">
      <alignment wrapText="1"/>
    </xf>
    <xf numFmtId="0" fontId="11" fillId="35" borderId="10" xfId="82" applyFont="1" applyFill="1" applyBorder="1" applyAlignment="1">
      <alignment wrapText="1"/>
    </xf>
    <xf numFmtId="0" fontId="11" fillId="36" borderId="15" xfId="82" applyFont="1" applyFill="1" applyBorder="1" applyAlignment="1">
      <alignment wrapText="1"/>
    </xf>
    <xf numFmtId="0" fontId="11" fillId="35" borderId="16" xfId="82" applyFont="1" applyFill="1" applyBorder="1" applyAlignment="1">
      <alignment wrapText="1"/>
    </xf>
    <xf numFmtId="14" fontId="35" fillId="37" borderId="0" xfId="82" applyNumberFormat="1" applyFont="1" applyFill="1" applyBorder="1" applyAlignment="1">
      <alignment horizontal="left" wrapText="1"/>
    </xf>
    <xf numFmtId="173" fontId="11" fillId="36" borderId="0" xfId="82" applyNumberFormat="1" applyFont="1" applyFill="1" applyBorder="1" applyAlignment="1">
      <alignment wrapText="1"/>
    </xf>
    <xf numFmtId="173" fontId="11" fillId="36" borderId="17" xfId="51" applyNumberFormat="1" applyFont="1" applyFill="1" applyBorder="1" applyAlignment="1">
      <alignment wrapText="1"/>
      <protection/>
    </xf>
    <xf numFmtId="3" fontId="12" fillId="35" borderId="18" xfId="82" applyNumberFormat="1" applyFont="1" applyFill="1" applyBorder="1" applyAlignment="1">
      <alignment wrapText="1"/>
    </xf>
    <xf numFmtId="173" fontId="11" fillId="35" borderId="18" xfId="82" applyNumberFormat="1" applyFont="1" applyFill="1" applyBorder="1" applyAlignment="1">
      <alignment wrapText="1"/>
    </xf>
    <xf numFmtId="3" fontId="11" fillId="35" borderId="18" xfId="82" applyNumberFormat="1" applyFont="1" applyFill="1" applyBorder="1" applyAlignment="1">
      <alignment wrapText="1"/>
    </xf>
    <xf numFmtId="3" fontId="11" fillId="36" borderId="17" xfId="82" applyNumberFormat="1" applyFont="1" applyFill="1" applyBorder="1" applyAlignment="1">
      <alignment/>
    </xf>
    <xf numFmtId="14" fontId="52" fillId="37" borderId="0" xfId="82" applyNumberFormat="1" applyFont="1" applyFill="1" applyBorder="1" applyAlignment="1">
      <alignment horizontal="center" vertical="top" wrapText="1"/>
    </xf>
    <xf numFmtId="0" fontId="91" fillId="36" borderId="0" xfId="0" applyFont="1" applyFill="1" applyAlignment="1">
      <alignment/>
    </xf>
    <xf numFmtId="3" fontId="11" fillId="36" borderId="19" xfId="82" applyNumberFormat="1" applyFont="1" applyFill="1" applyBorder="1" applyAlignment="1">
      <alignment wrapText="1"/>
    </xf>
    <xf numFmtId="0" fontId="92" fillId="36" borderId="0" xfId="0" applyFont="1" applyFill="1" applyAlignment="1">
      <alignment/>
    </xf>
    <xf numFmtId="164" fontId="13" fillId="36" borderId="0" xfId="110" applyNumberFormat="1" applyFont="1" applyFill="1" applyBorder="1" applyAlignment="1">
      <alignment wrapText="1"/>
    </xf>
    <xf numFmtId="0" fontId="0" fillId="42" borderId="0" xfId="0" applyFill="1" applyAlignment="1">
      <alignment horizontal="center"/>
    </xf>
    <xf numFmtId="170" fontId="0" fillId="7" borderId="0" xfId="0" applyNumberFormat="1" applyFill="1" applyAlignment="1">
      <alignment horizontal="center"/>
    </xf>
    <xf numFmtId="14" fontId="93" fillId="37" borderId="0" xfId="82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173" fontId="94" fillId="36" borderId="15" xfId="51" applyNumberFormat="1" applyFont="1" applyFill="1" applyBorder="1" applyAlignment="1">
      <alignment horizontal="center" vertical="center" wrapText="1"/>
      <protection/>
    </xf>
    <xf numFmtId="14" fontId="35" fillId="37" borderId="17" xfId="82" applyNumberFormat="1" applyFont="1" applyFill="1" applyBorder="1" applyAlignment="1">
      <alignment wrapText="1"/>
    </xf>
    <xf numFmtId="0" fontId="13" fillId="35" borderId="20" xfId="82" applyFont="1" applyFill="1" applyBorder="1" applyAlignment="1">
      <alignment wrapText="1"/>
    </xf>
    <xf numFmtId="173" fontId="11" fillId="36" borderId="17" xfId="51" applyNumberFormat="1" applyFont="1" applyFill="1" applyBorder="1" applyAlignment="1">
      <alignment wrapText="1"/>
      <protection/>
    </xf>
    <xf numFmtId="0" fontId="7" fillId="33" borderId="21" xfId="101" applyFill="1" applyBorder="1">
      <alignment/>
      <protection/>
    </xf>
    <xf numFmtId="0" fontId="13" fillId="35" borderId="22" xfId="82" applyFont="1" applyFill="1" applyBorder="1" applyAlignment="1">
      <alignment wrapText="1"/>
    </xf>
    <xf numFmtId="3" fontId="11" fillId="36" borderId="17" xfId="82" applyNumberFormat="1" applyFont="1" applyFill="1" applyBorder="1" applyAlignment="1">
      <alignment wrapText="1"/>
    </xf>
    <xf numFmtId="0" fontId="35" fillId="37" borderId="0" xfId="82" applyNumberFormat="1" applyFont="1" applyFill="1" applyBorder="1" applyAlignment="1">
      <alignment horizontal="right" wrapText="1"/>
    </xf>
    <xf numFmtId="0" fontId="35" fillId="37" borderId="23" xfId="82" applyNumberFormat="1" applyFont="1" applyFill="1" applyBorder="1" applyAlignment="1">
      <alignment horizontal="right"/>
    </xf>
    <xf numFmtId="0" fontId="11" fillId="36" borderId="11" xfId="82" applyFont="1" applyFill="1" applyBorder="1" applyAlignment="1">
      <alignment wrapText="1"/>
    </xf>
    <xf numFmtId="0" fontId="11" fillId="42" borderId="0" xfId="82" applyFont="1" applyFill="1" applyBorder="1" applyAlignment="1">
      <alignment wrapText="1"/>
    </xf>
    <xf numFmtId="0" fontId="12" fillId="36" borderId="12" xfId="82" applyFont="1" applyFill="1" applyBorder="1" applyAlignment="1">
      <alignment wrapText="1"/>
    </xf>
    <xf numFmtId="3" fontId="12" fillId="36" borderId="12" xfId="82" applyNumberFormat="1" applyFont="1" applyFill="1" applyBorder="1" applyAlignment="1">
      <alignment/>
    </xf>
    <xf numFmtId="3" fontId="12" fillId="36" borderId="24" xfId="82" applyNumberFormat="1" applyFont="1" applyFill="1" applyBorder="1" applyAlignment="1">
      <alignment/>
    </xf>
    <xf numFmtId="3" fontId="12" fillId="36" borderId="0" xfId="82" applyNumberFormat="1" applyFont="1" applyFill="1" applyBorder="1" applyAlignment="1">
      <alignment/>
    </xf>
    <xf numFmtId="3" fontId="12" fillId="36" borderId="17" xfId="82" applyNumberFormat="1" applyFont="1" applyFill="1" applyBorder="1" applyAlignment="1">
      <alignment/>
    </xf>
    <xf numFmtId="0" fontId="12" fillId="36" borderId="25" xfId="82" applyFont="1" applyFill="1" applyBorder="1" applyAlignment="1">
      <alignment wrapText="1"/>
    </xf>
    <xf numFmtId="3" fontId="12" fillId="36" borderId="25" xfId="82" applyNumberFormat="1" applyFont="1" applyFill="1" applyBorder="1" applyAlignment="1">
      <alignment/>
    </xf>
    <xf numFmtId="3" fontId="12" fillId="36" borderId="26" xfId="82" applyNumberFormat="1" applyFont="1" applyFill="1" applyBorder="1" applyAlignment="1">
      <alignment/>
    </xf>
    <xf numFmtId="3" fontId="11" fillId="36" borderId="27" xfId="82" applyNumberFormat="1" applyFont="1" applyFill="1" applyBorder="1" applyAlignment="1">
      <alignment/>
    </xf>
    <xf numFmtId="3" fontId="11" fillId="36" borderId="28" xfId="82" applyNumberFormat="1" applyFont="1" applyFill="1" applyBorder="1" applyAlignment="1">
      <alignment/>
    </xf>
    <xf numFmtId="0" fontId="11" fillId="36" borderId="27" xfId="82" applyFont="1" applyFill="1" applyBorder="1" applyAlignment="1">
      <alignment/>
    </xf>
    <xf numFmtId="3" fontId="11" fillId="36" borderId="29" xfId="82" applyNumberFormat="1" applyFont="1" applyFill="1" applyBorder="1" applyAlignment="1">
      <alignment/>
    </xf>
    <xf numFmtId="0" fontId="11" fillId="36" borderId="28" xfId="82" applyFont="1" applyFill="1" applyBorder="1" applyAlignment="1">
      <alignment/>
    </xf>
    <xf numFmtId="3" fontId="11" fillId="36" borderId="30" xfId="82" applyNumberFormat="1" applyFont="1" applyFill="1" applyBorder="1" applyAlignment="1">
      <alignment/>
    </xf>
    <xf numFmtId="3" fontId="11" fillId="36" borderId="27" xfId="82" applyNumberFormat="1" applyFont="1" applyFill="1" applyBorder="1" applyAlignment="1">
      <alignment horizontal="right"/>
    </xf>
    <xf numFmtId="3" fontId="11" fillId="36" borderId="28" xfId="82" applyNumberFormat="1" applyFont="1" applyFill="1" applyBorder="1" applyAlignment="1">
      <alignment horizontal="right"/>
    </xf>
    <xf numFmtId="3" fontId="11" fillId="36" borderId="31" xfId="82" applyNumberFormat="1" applyFont="1" applyFill="1" applyBorder="1" applyAlignment="1">
      <alignment/>
    </xf>
    <xf numFmtId="173" fontId="11" fillId="36" borderId="31" xfId="51" applyNumberFormat="1" applyFont="1" applyFill="1" applyBorder="1" applyAlignment="1">
      <alignment horizontal="right" wrapText="1"/>
      <protection/>
    </xf>
    <xf numFmtId="173" fontId="11" fillId="36" borderId="31" xfId="51" applyNumberFormat="1" applyFont="1" applyFill="1" applyBorder="1" applyAlignment="1">
      <alignment wrapText="1"/>
      <protection/>
    </xf>
    <xf numFmtId="173" fontId="11" fillId="36" borderId="32" xfId="51" applyNumberFormat="1" applyFont="1" applyFill="1" applyBorder="1" applyAlignment="1">
      <alignment wrapText="1"/>
      <protection/>
    </xf>
    <xf numFmtId="0" fontId="12" fillId="36" borderId="10" xfId="82" applyFont="1" applyFill="1" applyBorder="1" applyAlignment="1">
      <alignment/>
    </xf>
    <xf numFmtId="3" fontId="12" fillId="36" borderId="10" xfId="82" applyNumberFormat="1" applyFont="1" applyFill="1" applyBorder="1" applyAlignment="1">
      <alignment/>
    </xf>
    <xf numFmtId="3" fontId="12" fillId="36" borderId="18" xfId="82" applyNumberFormat="1" applyFont="1" applyFill="1" applyBorder="1" applyAlignment="1">
      <alignment/>
    </xf>
    <xf numFmtId="3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173" fontId="11" fillId="36" borderId="0" xfId="51" applyNumberFormat="1" applyFont="1" applyFill="1" applyBorder="1" applyAlignment="1">
      <alignment horizontal="right" wrapText="1"/>
      <protection/>
    </xf>
    <xf numFmtId="3" fontId="11" fillId="35" borderId="18" xfId="82" applyNumberFormat="1" applyFont="1" applyFill="1" applyBorder="1" applyAlignment="1">
      <alignment horizontal="right" wrapText="1"/>
    </xf>
    <xf numFmtId="173" fontId="11" fillId="36" borderId="17" xfId="51" applyNumberFormat="1" applyFont="1" applyFill="1" applyBorder="1" applyAlignment="1">
      <alignment horizontal="right" wrapText="1"/>
      <protection/>
    </xf>
    <xf numFmtId="173" fontId="11" fillId="36" borderId="11" xfId="51" applyNumberFormat="1" applyFont="1" applyFill="1" applyBorder="1" applyAlignment="1">
      <alignment horizontal="right" wrapText="1"/>
      <protection/>
    </xf>
    <xf numFmtId="173" fontId="11" fillId="36" borderId="20" xfId="51" applyNumberFormat="1" applyFont="1" applyFill="1" applyBorder="1" applyAlignment="1">
      <alignment horizontal="right" wrapText="1"/>
      <protection/>
    </xf>
    <xf numFmtId="3" fontId="11" fillId="36" borderId="0" xfId="82" applyNumberFormat="1" applyFont="1" applyFill="1" applyBorder="1" applyAlignment="1">
      <alignment horizontal="right"/>
    </xf>
    <xf numFmtId="3" fontId="11" fillId="36" borderId="17" xfId="82" applyNumberFormat="1" applyFont="1" applyFill="1" applyBorder="1" applyAlignment="1">
      <alignment horizontal="right"/>
    </xf>
    <xf numFmtId="173" fontId="11" fillId="35" borderId="10" xfId="82" applyNumberFormat="1" applyFont="1" applyFill="1" applyBorder="1" applyAlignment="1">
      <alignment horizontal="right" wrapText="1"/>
    </xf>
    <xf numFmtId="173" fontId="11" fillId="35" borderId="18" xfId="82" applyNumberFormat="1" applyFont="1" applyFill="1" applyBorder="1" applyAlignment="1">
      <alignment horizontal="right" wrapText="1"/>
    </xf>
    <xf numFmtId="0" fontId="3" fillId="0" borderId="0" xfId="78" applyFont="1" applyFill="1" applyBorder="1" applyAlignment="1">
      <alignment horizontal="left" vertical="center" wrapText="1"/>
    </xf>
    <xf numFmtId="0" fontId="6" fillId="43" borderId="0" xfId="0" applyFont="1" applyFill="1" applyAlignment="1">
      <alignment horizontal="center" vertical="top" wrapText="1"/>
    </xf>
    <xf numFmtId="0" fontId="6" fillId="44" borderId="13" xfId="0" applyFont="1" applyFill="1" applyBorder="1" applyAlignment="1">
      <alignment horizontal="center" vertical="top" wrapText="1"/>
    </xf>
    <xf numFmtId="0" fontId="3" fillId="0" borderId="0" xfId="78" applyFont="1" applyFill="1" applyBorder="1" applyAlignment="1">
      <alignment horizontal="center" vertical="center"/>
    </xf>
    <xf numFmtId="0" fontId="3" fillId="0" borderId="13" xfId="78" applyFont="1" applyFill="1" applyBorder="1" applyAlignment="1">
      <alignment horizontal="center" vertical="center"/>
    </xf>
    <xf numFmtId="0" fontId="6" fillId="45" borderId="0" xfId="71" applyFont="1" applyFill="1" applyAlignment="1" applyProtection="1">
      <alignment horizontal="center" vertical="top" wrapText="1"/>
      <protection/>
    </xf>
    <xf numFmtId="0" fontId="6" fillId="46" borderId="13" xfId="71" applyFont="1" applyFill="1" applyBorder="1" applyAlignment="1" applyProtection="1">
      <alignment horizontal="center" vertical="top" wrapText="1"/>
      <protection/>
    </xf>
    <xf numFmtId="0" fontId="6" fillId="47" borderId="0" xfId="0" applyFont="1" applyFill="1" applyAlignment="1">
      <alignment horizontal="center" vertical="top" wrapText="1"/>
    </xf>
    <xf numFmtId="0" fontId="6" fillId="48" borderId="13" xfId="0" applyFont="1" applyFill="1" applyBorder="1" applyAlignment="1">
      <alignment horizontal="center" vertical="top" wrapText="1"/>
    </xf>
    <xf numFmtId="0" fontId="3" fillId="0" borderId="0" xfId="78" applyFont="1" applyFill="1" applyBorder="1" applyAlignment="1">
      <alignment horizontal="center" vertical="center" wrapText="1"/>
    </xf>
    <xf numFmtId="0" fontId="3" fillId="0" borderId="13" xfId="78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fo]&#13;&#10;UserName=bsv&#13;&#10;UserCompany=СПб РЦ АБ ИНКОМБАНК&#13;&#10;&#13;&#10;[File Paths]&#13;&#10;WorkingDirectory=C:\MSTOCK\DLWIN&#13;&#10;DownLoad" xfId="51"/>
    <cellStyle name="fo]&#13;&#10;UserName=bsv&#13;&#10;UserCompany=СПб РЦ АБ ИНКОМБАНК&#13;&#10;&#13;&#10;[File Paths]&#13;&#10;WorkingDirectory=C:\MSTOCK\DLWIN&#13;&#10;DownLoad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Гиперссылка 2" xfId="72"/>
    <cellStyle name="Гиперссылка 3" xfId="73"/>
    <cellStyle name="Currency" xfId="74"/>
    <cellStyle name="Currency [0]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ейтральный" xfId="89"/>
    <cellStyle name="Нейтральный 2" xfId="90"/>
    <cellStyle name="Обычный 10" xfId="91"/>
    <cellStyle name="Обычный 11" xfId="92"/>
    <cellStyle name="Обычный 2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Обычный_IFRS Q3 2009 ENG" xfId="101"/>
    <cellStyle name="Followed Hyperlink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Примечание 3" xfId="109"/>
    <cellStyle name="Percent" xfId="110"/>
    <cellStyle name="Процентный 2" xfId="111"/>
    <cellStyle name="Процентный 3" xfId="112"/>
    <cellStyle name="Связанная ячейка" xfId="113"/>
    <cellStyle name="Связанная ячейка 2" xfId="114"/>
    <cellStyle name="Текст предупреждения" xfId="115"/>
    <cellStyle name="Текст предупреждения 2" xfId="116"/>
    <cellStyle name="Comma" xfId="117"/>
    <cellStyle name="Comma [0]" xfId="118"/>
    <cellStyle name="Хороший" xfId="119"/>
    <cellStyle name="Хороший 2" xfId="12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114300</xdr:rowOff>
    </xdr:from>
    <xdr:to>
      <xdr:col>1</xdr:col>
      <xdr:colOff>1943100</xdr:colOff>
      <xdr:row>4</xdr:row>
      <xdr:rowOff>66675</xdr:rowOff>
    </xdr:to>
    <xdr:pic>
      <xdr:nvPicPr>
        <xdr:cNvPr id="1" name="Picture 5" descr="Logo_rus_positi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4300"/>
          <a:ext cx="2009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2114550</xdr:colOff>
      <xdr:row>4</xdr:row>
      <xdr:rowOff>66675</xdr:rowOff>
    </xdr:to>
    <xdr:pic>
      <xdr:nvPicPr>
        <xdr:cNvPr id="1" name="Picture 5" descr="Logo_rus_positiv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2009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0</xdr:col>
      <xdr:colOff>2124075</xdr:colOff>
      <xdr:row>4</xdr:row>
      <xdr:rowOff>38100</xdr:rowOff>
    </xdr:to>
    <xdr:pic>
      <xdr:nvPicPr>
        <xdr:cNvPr id="1" name="Picture 5" descr="Logo_rus_positiv_CMY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019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0</xdr:col>
      <xdr:colOff>2171700</xdr:colOff>
      <xdr:row>4</xdr:row>
      <xdr:rowOff>76200</xdr:rowOff>
    </xdr:to>
    <xdr:pic>
      <xdr:nvPicPr>
        <xdr:cNvPr id="1" name="Picture 5" descr="Logo_rus_positiv_CMY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019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0</xdr:col>
      <xdr:colOff>2152650</xdr:colOff>
      <xdr:row>4</xdr:row>
      <xdr:rowOff>66675</xdr:rowOff>
    </xdr:to>
    <xdr:pic>
      <xdr:nvPicPr>
        <xdr:cNvPr id="1" name="Picture 5" descr="Logo_rus_positiv_CMY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2019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3:E23"/>
  <sheetViews>
    <sheetView showGridLines="0" tabSelected="1" workbookViewId="0" topLeftCell="A1">
      <selection activeCell="A1" sqref="A1"/>
    </sheetView>
  </sheetViews>
  <sheetFormatPr defaultColWidth="0" defaultRowHeight="15" customHeight="1" zeroHeight="1"/>
  <cols>
    <col min="1" max="1" width="6.21484375" style="0" customWidth="1"/>
    <col min="2" max="2" width="74.5546875" style="0" customWidth="1"/>
    <col min="3" max="4" width="8.88671875" style="0" customWidth="1"/>
    <col min="5" max="5" width="2.4453125" style="0" hidden="1" customWidth="1"/>
    <col min="6" max="16384" width="0" style="0" hidden="1" customWidth="1"/>
  </cols>
  <sheetData>
    <row r="1" s="9" customFormat="1" ht="13.5" customHeight="1"/>
    <row r="2" s="9" customFormat="1" ht="13.5" customHeight="1"/>
    <row r="3" spans="2:3" s="9" customFormat="1" ht="13.5" customHeight="1">
      <c r="B3" s="94" t="str">
        <f>VLOOKUP(329,dict!$A:$C,Contents!$D$21,0)</f>
        <v>Выбор языка</v>
      </c>
      <c r="C3" s="94"/>
    </row>
    <row r="4" s="9" customFormat="1" ht="13.5" customHeight="1"/>
    <row r="5" s="9" customFormat="1" ht="13.5" customHeight="1"/>
    <row r="6" s="22" customFormat="1" ht="13.5" customHeight="1"/>
    <row r="7" spans="4:5" ht="15.75" customHeight="1">
      <c r="D7" s="74"/>
      <c r="E7" s="74"/>
    </row>
    <row r="8" spans="2:5" ht="33" customHeight="1">
      <c r="B8" s="174" t="str">
        <f>VLOOKUP(10,dict!$A:$C,Contents!$D$21,0)</f>
        <v>Банк Возрождение: Консолидированная финансовая отчетность по МСФО за 2014 год</v>
      </c>
      <c r="C8" s="174"/>
      <c r="D8" s="1"/>
      <c r="E8" s="1"/>
    </row>
    <row r="9" ht="15"/>
    <row r="10" spans="2:3" ht="15.75">
      <c r="B10" s="29" t="str">
        <f>VLOOKUP(2,dict!$A:$C,Contents!$D$21,0)</f>
        <v>Отчет о финансовом положении</v>
      </c>
      <c r="C10" s="73"/>
    </row>
    <row r="11" spans="2:3" ht="15.75">
      <c r="B11" s="29" t="str">
        <f>VLOOKUP(6,dict!$A:$C,Contents!$D$21,0)</f>
        <v>Отчет о прибыли или убытке и прочем совокупном доходе</v>
      </c>
      <c r="C11" s="29"/>
    </row>
    <row r="12" spans="2:3" ht="15.75">
      <c r="B12" s="29" t="str">
        <f>VLOOKUP(8,dict!$A:$C,Contents!$D$21,0)</f>
        <v>Отчет об изменениях в капитале</v>
      </c>
      <c r="C12" s="29"/>
    </row>
    <row r="13" spans="2:3" ht="15.75">
      <c r="B13" s="29" t="str">
        <f>VLOOKUP(9,dict!$A:$C,Contents!$D$21,0)</f>
        <v>Отчет о движении денежных средств</v>
      </c>
      <c r="C13" s="29"/>
    </row>
    <row r="14" ht="15"/>
    <row r="15" ht="15"/>
    <row r="16" ht="15"/>
    <row r="17" ht="15"/>
    <row r="18" spans="2:5" ht="15.75">
      <c r="B18" s="95"/>
      <c r="C18" s="95" t="s">
        <v>463</v>
      </c>
      <c r="D18" s="1"/>
      <c r="E18" s="1"/>
    </row>
    <row r="19" spans="2:5" ht="15.75">
      <c r="B19" s="95"/>
      <c r="C19" s="95" t="s">
        <v>463</v>
      </c>
      <c r="D19" s="95"/>
      <c r="E19" s="1"/>
    </row>
    <row r="20" spans="2:5" ht="15.75">
      <c r="B20" s="95"/>
      <c r="C20" s="95"/>
      <c r="D20" s="95">
        <f>IF(C21="ENG",2,3)</f>
        <v>3</v>
      </c>
      <c r="E20" s="1"/>
    </row>
    <row r="21" spans="2:5" ht="15.75">
      <c r="B21" s="96" t="s">
        <v>23</v>
      </c>
      <c r="C21" s="97" t="s">
        <v>464</v>
      </c>
      <c r="D21" s="95">
        <f>D22+1</f>
        <v>3</v>
      </c>
      <c r="E21" s="1"/>
    </row>
    <row r="22" spans="2:5" ht="15.75">
      <c r="B22" s="95"/>
      <c r="C22" s="95" t="s">
        <v>463</v>
      </c>
      <c r="D22" s="95">
        <v>2</v>
      </c>
      <c r="E22" s="1"/>
    </row>
    <row r="23" spans="2:5" ht="15.75">
      <c r="B23" s="95"/>
      <c r="C23" s="95" t="s">
        <v>464</v>
      </c>
      <c r="D23" s="95"/>
      <c r="E23" s="1"/>
    </row>
  </sheetData>
  <sheetProtection/>
  <mergeCells count="1">
    <mergeCell ref="B8:C8"/>
  </mergeCells>
  <dataValidations count="1">
    <dataValidation type="list" allowBlank="1" showInputMessage="1" showErrorMessage="1" sqref="C21">
      <formula1>$C$22:$C$23</formula1>
    </dataValidation>
  </dataValidations>
  <hyperlinks>
    <hyperlink ref="B11" location="'Statement of compreh income'!A1" display="'Statement of compreh income'!A1"/>
    <hyperlink ref="B10" location="'Statement of fin position'!A1" display="'Statement of fin position'!A1"/>
    <hyperlink ref="B12" location="'Statement of changes in equity'!A1" display="'Statement of changes in equity'!A1"/>
    <hyperlink ref="B13" location="'Statement of cash flows'!A1" display="'Statement of cash flows'!A1"/>
  </hyperlinks>
  <printOptions/>
  <pageMargins left="0.75" right="0.75" top="1" bottom="1" header="0.5" footer="0.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0C0E5"/>
  </sheetPr>
  <dimension ref="A3:IO50"/>
  <sheetViews>
    <sheetView showGridLines="0" zoomScalePageLayoutView="0" workbookViewId="0" topLeftCell="A1">
      <selection activeCell="A1" sqref="A1"/>
    </sheetView>
  </sheetViews>
  <sheetFormatPr defaultColWidth="7.10546875" defaultRowHeight="15"/>
  <cols>
    <col min="1" max="1" width="44.77734375" style="0" customWidth="1"/>
    <col min="2" max="21" width="11.77734375" style="0" customWidth="1"/>
    <col min="22" max="25" width="11.6640625" style="0" customWidth="1"/>
  </cols>
  <sheetData>
    <row r="1" s="9" customFormat="1" ht="13.5" customHeight="1"/>
    <row r="2" s="9" customFormat="1" ht="13.5" customHeight="1"/>
    <row r="3" s="9" customFormat="1" ht="13.5" customHeight="1">
      <c r="B3" s="94" t="str">
        <f>VLOOKUP(329,dict!$A:$C,Contents!$D$21,0)</f>
        <v>Выбор языка</v>
      </c>
    </row>
    <row r="4" s="9" customFormat="1" ht="13.5" customHeight="1"/>
    <row r="5" s="9" customFormat="1" ht="13.5" customHeight="1"/>
    <row r="6" spans="1:248" s="98" customFormat="1" ht="24.75" customHeight="1">
      <c r="A6" s="177" t="str">
        <f>VLOOKUP(34,dict!$A:$C,Contents!$D$21,0)</f>
        <v>Отчет о финансовом положении</v>
      </c>
      <c r="B6" s="175" t="str">
        <f>VLOOKUP(33,dict!$A:$C,Contents!$D$21,0)</f>
        <v>Содержание</v>
      </c>
      <c r="C6" s="179" t="str">
        <f>VLOOKUP(2,dict!$A:$C,Contents!$D$21,0)</f>
        <v>Отчет о финансовом положении</v>
      </c>
      <c r="D6" s="175" t="str">
        <f>VLOOKUP(6,dict!$A:$C,Contents!$D$21,0)</f>
        <v>Отчет о прибыли или убытке и прочем совокупном доходе</v>
      </c>
      <c r="E6" s="175" t="str">
        <f>VLOOKUP(8,dict!$A:$C,Contents!$D$21,0)</f>
        <v>Отчет об изменениях в капитале</v>
      </c>
      <c r="F6" s="175" t="str">
        <f>VLOOKUP(9,dict!$A:$C,Contents!$D$21,0)</f>
        <v>Отчет о движении денежных средств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9" s="98" customFormat="1" ht="24.75" customHeight="1" thickBot="1">
      <c r="A7" s="178"/>
      <c r="B7" s="176"/>
      <c r="C7" s="180"/>
      <c r="D7" s="176"/>
      <c r="E7" s="176"/>
      <c r="F7" s="176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1"/>
    </row>
    <row r="8" spans="1:26" s="30" customFormat="1" ht="15.75" customHeight="1" thickTop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102"/>
    </row>
    <row r="9" spans="1:25" ht="15.75" customHeight="1">
      <c r="A9" s="6" t="str">
        <f>VLOOKUP(35,dict!$A:$C,Contents!$D$21,0)</f>
        <v>млн рублей</v>
      </c>
      <c r="B9" s="83"/>
      <c r="C9" s="83"/>
      <c r="D9" s="52"/>
      <c r="E9" s="2"/>
      <c r="F9" s="2"/>
      <c r="G9" s="2"/>
      <c r="H9" s="2"/>
      <c r="I9" s="8"/>
      <c r="J9" s="7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</row>
    <row r="10" spans="1:7" ht="15.75" customHeight="1">
      <c r="A10" s="13" t="str">
        <f>VLOOKUP(36,dict!$A:$C,Contents!$D$21,0)</f>
        <v>Баланс</v>
      </c>
      <c r="B10" s="25">
        <v>41640</v>
      </c>
      <c r="C10" s="129">
        <v>41275</v>
      </c>
      <c r="D10" s="3"/>
      <c r="E10" s="3"/>
      <c r="F10" s="3"/>
      <c r="G10" s="3"/>
    </row>
    <row r="11" spans="1:7" ht="15.75" customHeight="1">
      <c r="A11" s="108" t="str">
        <f>VLOOKUP(37,dict!$A:$C,Contents!$D$21,0)</f>
        <v>Активы</v>
      </c>
      <c r="B11" s="14"/>
      <c r="C11" s="130"/>
      <c r="D11" s="3"/>
      <c r="E11" s="3"/>
      <c r="F11" s="3"/>
      <c r="G11" s="3"/>
    </row>
    <row r="12" spans="1:7" ht="15.75" customHeight="1">
      <c r="A12" s="11" t="str">
        <f>VLOOKUP(38,dict!$A:$C,Contents!$D$21,0)</f>
        <v>Денежные средства и их эквиваленты</v>
      </c>
      <c r="B12" s="16">
        <v>35627</v>
      </c>
      <c r="C12" s="131">
        <v>29331</v>
      </c>
      <c r="D12" s="3"/>
      <c r="E12" s="162"/>
      <c r="F12" s="162"/>
      <c r="G12" s="3"/>
    </row>
    <row r="13" spans="1:7" ht="30.75" customHeight="1">
      <c r="A13" s="11" t="str">
        <f>VLOOKUP(39,dict!$A:$C,Contents!$D$21,0)</f>
        <v>Обязательные резервы на счетах в Центральном Банке Российской Федерации</v>
      </c>
      <c r="B13" s="16">
        <v>1865</v>
      </c>
      <c r="C13" s="131">
        <v>1780</v>
      </c>
      <c r="D13" s="3"/>
      <c r="E13" s="162"/>
      <c r="F13" s="162"/>
      <c r="G13" s="3"/>
    </row>
    <row r="14" spans="1:7" ht="15.75" customHeight="1">
      <c r="A14" s="11" t="str">
        <f>VLOOKUP(40,dict!$A:$C,Contents!$D$21,0)</f>
        <v>Торговые ценные бумаги</v>
      </c>
      <c r="B14" s="16">
        <v>13203</v>
      </c>
      <c r="C14" s="131">
        <v>4647</v>
      </c>
      <c r="D14" s="3"/>
      <c r="E14" s="162"/>
      <c r="F14" s="162"/>
      <c r="G14" s="3"/>
    </row>
    <row r="15" spans="1:7" ht="15.75" customHeight="1">
      <c r="A15" s="11" t="str">
        <f>VLOOKUP(41,dict!$A:$C,Contents!$D$21,0)</f>
        <v>Средства в других банках</v>
      </c>
      <c r="B15" s="16">
        <v>1167</v>
      </c>
      <c r="C15" s="131">
        <v>644</v>
      </c>
      <c r="D15" s="3"/>
      <c r="E15" s="162"/>
      <c r="F15" s="163"/>
      <c r="G15" s="3"/>
    </row>
    <row r="16" spans="1:7" ht="15.75" customHeight="1">
      <c r="A16" s="11" t="str">
        <f>VLOOKUP(42,dict!$A:$C,Contents!$D$21,0)</f>
        <v>Кредиты и авансы клиентам</v>
      </c>
      <c r="B16" s="165" t="s">
        <v>711</v>
      </c>
      <c r="C16" s="131">
        <v>155828</v>
      </c>
      <c r="D16" s="3"/>
      <c r="E16" s="163"/>
      <c r="F16" s="162"/>
      <c r="G16" s="3"/>
    </row>
    <row r="17" spans="1:7" ht="29.25" customHeight="1">
      <c r="A17" s="11" t="str">
        <f>VLOOKUP(43,dict!$A:$C,Contents!$D$21,0)</f>
        <v>Инвестиционные ценные бумаги, имеющиеся в наличии для продажи</v>
      </c>
      <c r="B17" s="16">
        <v>8871</v>
      </c>
      <c r="C17" s="131">
        <v>7510</v>
      </c>
      <c r="D17" s="3"/>
      <c r="E17" s="162"/>
      <c r="F17" s="162"/>
      <c r="G17" s="3"/>
    </row>
    <row r="18" spans="1:7" ht="29.25" customHeight="1">
      <c r="A18" s="11" t="str">
        <f>VLOOKUP(46,dict!$A:$C,Contents!$D$21,0)</f>
        <v>Прочие финансовые активы</v>
      </c>
      <c r="B18" s="16">
        <v>1417</v>
      </c>
      <c r="C18" s="131">
        <v>1010</v>
      </c>
      <c r="D18" s="3"/>
      <c r="E18" s="162"/>
      <c r="F18" s="162"/>
      <c r="G18" s="3"/>
    </row>
    <row r="19" spans="1:7" ht="15.75" customHeight="1">
      <c r="A19" s="11" t="str">
        <f>VLOOKUP(366,dict!$A:$C,Contents!$D$21,0)</f>
        <v>Отложенный налоговый актив</v>
      </c>
      <c r="B19" s="16">
        <v>1036</v>
      </c>
      <c r="C19" s="131">
        <v>1217</v>
      </c>
      <c r="D19" s="3"/>
      <c r="E19" s="162"/>
      <c r="F19" s="162"/>
      <c r="G19" s="3"/>
    </row>
    <row r="20" spans="1:7" ht="15.75" customHeight="1">
      <c r="A20" s="11" t="str">
        <f>VLOOKUP(47,dict!$A:$C,Contents!$D$21,0)</f>
        <v>Прочие активы</v>
      </c>
      <c r="B20" s="16">
        <v>5434</v>
      </c>
      <c r="C20" s="131">
        <v>5590</v>
      </c>
      <c r="D20" s="3"/>
      <c r="E20" s="162"/>
      <c r="F20" s="162"/>
      <c r="G20" s="3"/>
    </row>
    <row r="21" spans="1:7" ht="15.75" customHeight="1">
      <c r="A21" s="11" t="str">
        <f>VLOOKUP(45,dict!$A:$C,Contents!$D$21,0)</f>
        <v>Основные средства</v>
      </c>
      <c r="B21" s="16">
        <v>3210</v>
      </c>
      <c r="C21" s="131">
        <v>3124</v>
      </c>
      <c r="D21" s="3"/>
      <c r="E21" s="162"/>
      <c r="F21" s="162"/>
      <c r="G21" s="3"/>
    </row>
    <row r="22" spans="1:7" ht="15.75" customHeight="1">
      <c r="A22" s="11" t="str">
        <f>VLOOKUP(365,dict!$A:$C,Contents!$D$21,0)</f>
        <v>Долгосрочные активы, предназначенные для продажи</v>
      </c>
      <c r="B22" s="16">
        <v>373</v>
      </c>
      <c r="C22" s="131">
        <v>325</v>
      </c>
      <c r="D22" s="3"/>
      <c r="E22" s="163"/>
      <c r="F22" s="163"/>
      <c r="G22" s="3"/>
    </row>
    <row r="23" spans="1:22" ht="15.75" customHeight="1" thickBot="1">
      <c r="A23" s="109" t="str">
        <f>VLOOKUP(48,dict!$A:$C,Contents!$D$21,0)</f>
        <v>ИТОГО АКТИВЫ</v>
      </c>
      <c r="B23" s="18">
        <v>227922</v>
      </c>
      <c r="C23" s="117">
        <v>211006</v>
      </c>
      <c r="D23" s="132"/>
      <c r="E23" s="163"/>
      <c r="F23" s="163"/>
      <c r="G23" s="3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</row>
    <row r="24" spans="1:26" ht="15.75" customHeight="1" thickTop="1">
      <c r="A24" s="110"/>
      <c r="B24" s="103"/>
      <c r="C24" s="103"/>
      <c r="D24" s="15"/>
      <c r="E24" s="164"/>
      <c r="F24" s="164"/>
      <c r="G24" s="15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3"/>
      <c r="X24" s="3"/>
      <c r="Y24" s="3"/>
      <c r="Z24" s="3"/>
    </row>
    <row r="25" spans="1:26" ht="15.75" customHeight="1" thickBot="1">
      <c r="A25" s="6" t="str">
        <f>VLOOKUP(35,dict!$A:$C,Contents!$D$21,0)</f>
        <v>млн рублей</v>
      </c>
      <c r="B25" s="83"/>
      <c r="C25" s="83"/>
      <c r="D25" s="83"/>
      <c r="E25" s="163"/>
      <c r="F25" s="163"/>
      <c r="G25" s="2"/>
      <c r="H25" s="2"/>
      <c r="I25" s="2"/>
      <c r="J25" s="8"/>
      <c r="K25" s="7"/>
      <c r="L25" s="2"/>
      <c r="M25" s="2"/>
      <c r="N25" s="2"/>
      <c r="O25" s="2"/>
      <c r="P25" s="2"/>
      <c r="Q25" s="2"/>
      <c r="R25" s="2"/>
      <c r="S25" s="2"/>
      <c r="T25" s="2"/>
      <c r="U25" s="3"/>
      <c r="V25" s="3"/>
      <c r="W25" s="3"/>
      <c r="X25" s="3"/>
      <c r="Y25" s="3"/>
      <c r="Z25" s="3"/>
    </row>
    <row r="26" spans="1:7" ht="15.75" customHeight="1" thickTop="1">
      <c r="A26" s="111" t="str">
        <f>VLOOKUP(49,dict!$A:$C,Contents!$D$21,0)</f>
        <v>Обязательства</v>
      </c>
      <c r="B26" s="104"/>
      <c r="C26" s="133"/>
      <c r="D26" s="3"/>
      <c r="E26" s="163"/>
      <c r="F26" s="163"/>
      <c r="G26" s="3"/>
    </row>
    <row r="27" spans="1:7" ht="15.75" customHeight="1">
      <c r="A27" s="21" t="str">
        <f>VLOOKUP(50,dict!$A:$C,Contents!$D$21,0)</f>
        <v>Средства других банков</v>
      </c>
      <c r="B27" s="16">
        <v>19116</v>
      </c>
      <c r="C27" s="131">
        <v>8996</v>
      </c>
      <c r="D27" s="3"/>
      <c r="E27" s="163"/>
      <c r="F27" s="163"/>
      <c r="G27" s="3"/>
    </row>
    <row r="28" spans="1:7" ht="15.75" customHeight="1">
      <c r="A28" s="21" t="str">
        <f>VLOOKUP(51,dict!$A:$C,Contents!$D$21,0)</f>
        <v>Средства клиентов</v>
      </c>
      <c r="B28" s="16">
        <v>174218</v>
      </c>
      <c r="C28" s="131">
        <v>161540</v>
      </c>
      <c r="D28" s="3"/>
      <c r="E28" s="163"/>
      <c r="F28" s="163"/>
      <c r="G28" s="3"/>
    </row>
    <row r="29" spans="1:7" ht="15.75" customHeight="1">
      <c r="A29" s="21" t="str">
        <f>VLOOKUP(52,dict!$A:$C,Contents!$D$21,0)</f>
        <v>Выпущенные долговые ценные бумаги</v>
      </c>
      <c r="B29" s="16">
        <v>6073</v>
      </c>
      <c r="C29" s="131">
        <v>10154</v>
      </c>
      <c r="D29" s="3"/>
      <c r="E29" s="163"/>
      <c r="F29" s="163"/>
      <c r="G29" s="3"/>
    </row>
    <row r="30" spans="1:7" ht="15.75" customHeight="1">
      <c r="A30" s="21" t="str">
        <f>VLOOKUP(52.1,dict!$A:$C,Contents!$D$21,0)</f>
        <v>Прочие заемные средства</v>
      </c>
      <c r="B30" s="165" t="s">
        <v>3</v>
      </c>
      <c r="C30" s="131">
        <v>3004</v>
      </c>
      <c r="D30" s="3"/>
      <c r="E30" s="163"/>
      <c r="F30" s="163"/>
      <c r="G30" s="3"/>
    </row>
    <row r="31" spans="1:7" ht="15.75" customHeight="1">
      <c r="A31" s="21" t="str">
        <f>VLOOKUP(55,dict!$A:$C,Contents!$D$21,0)</f>
        <v>Прочие финансовые обязательства</v>
      </c>
      <c r="B31" s="16">
        <v>647</v>
      </c>
      <c r="C31" s="131">
        <v>335</v>
      </c>
      <c r="D31" s="3"/>
      <c r="E31" s="163"/>
      <c r="F31" s="163"/>
      <c r="G31" s="3"/>
    </row>
    <row r="32" spans="1:7" ht="15.75" customHeight="1">
      <c r="A32" s="21" t="str">
        <f>VLOOKUP(56,dict!$A:$C,Contents!$D$21,0)</f>
        <v>Прочие обязательства</v>
      </c>
      <c r="B32" s="16">
        <v>501</v>
      </c>
      <c r="C32" s="131">
        <v>587</v>
      </c>
      <c r="D32" s="3"/>
      <c r="E32" s="163"/>
      <c r="F32" s="163"/>
      <c r="G32" s="3"/>
    </row>
    <row r="33" spans="1:7" ht="15.75" customHeight="1">
      <c r="A33" s="21" t="str">
        <f>VLOOKUP(53,dict!$A:$C,Contents!$D$21,0)</f>
        <v>Субординированные депозиты</v>
      </c>
      <c r="B33" s="16">
        <v>3563</v>
      </c>
      <c r="C33" s="131">
        <v>4024</v>
      </c>
      <c r="D33" s="3"/>
      <c r="E33" s="163"/>
      <c r="F33" s="163"/>
      <c r="G33" s="3"/>
    </row>
    <row r="34" spans="1:7" ht="15.75" customHeight="1" thickBot="1">
      <c r="A34" s="109" t="str">
        <f>VLOOKUP(57,dict!$A:$C,Contents!$D$21,0)</f>
        <v>ИТОГО ОБЯЗАТЕЛЬСТВА</v>
      </c>
      <c r="B34" s="18">
        <v>204118</v>
      </c>
      <c r="C34" s="117">
        <v>188640</v>
      </c>
      <c r="D34" s="3"/>
      <c r="E34" s="163"/>
      <c r="F34" s="163"/>
      <c r="G34" s="3"/>
    </row>
    <row r="35" spans="1:7" ht="15.75" customHeight="1" thickTop="1">
      <c r="A35" s="110"/>
      <c r="B35" s="103"/>
      <c r="C35" s="103"/>
      <c r="D35" s="3"/>
      <c r="E35" s="163"/>
      <c r="F35" s="163"/>
      <c r="G35" s="3"/>
    </row>
    <row r="36" spans="1:7" ht="15.75" customHeight="1" thickBot="1">
      <c r="A36" s="6" t="str">
        <f>VLOOKUP(35,dict!$A:$C,Contents!$D$21,0)</f>
        <v>млн рублей</v>
      </c>
      <c r="B36" s="83"/>
      <c r="C36" s="2"/>
      <c r="D36" s="3"/>
      <c r="E36" s="163"/>
      <c r="F36" s="163"/>
      <c r="G36" s="3"/>
    </row>
    <row r="37" spans="1:7" ht="15.75" customHeight="1" thickTop="1">
      <c r="A37" s="111" t="str">
        <f>VLOOKUP(58,dict!$A:$C,Contents!$D$21,0)</f>
        <v>Собственные средства</v>
      </c>
      <c r="B37" s="104"/>
      <c r="C37" s="133"/>
      <c r="D37" s="3"/>
      <c r="E37" s="163"/>
      <c r="F37" s="163"/>
      <c r="G37" s="3"/>
    </row>
    <row r="38" spans="1:7" ht="15.75" customHeight="1">
      <c r="A38" s="21" t="str">
        <f>VLOOKUP(59,dict!$A:$C,Contents!$D$21,0)</f>
        <v>Акционерный капитал</v>
      </c>
      <c r="B38" s="16">
        <v>250</v>
      </c>
      <c r="C38" s="131">
        <v>250</v>
      </c>
      <c r="D38" s="3"/>
      <c r="E38" s="163"/>
      <c r="F38" s="163"/>
      <c r="G38" s="3"/>
    </row>
    <row r="39" spans="1:7" ht="15.75" customHeight="1">
      <c r="A39" s="21" t="str">
        <f>VLOOKUP(60,dict!$A:$C,Contents!$D$21,0)</f>
        <v>Эмиссионный доход</v>
      </c>
      <c r="B39" s="16">
        <v>7306</v>
      </c>
      <c r="C39" s="131">
        <v>7306</v>
      </c>
      <c r="D39" s="3"/>
      <c r="E39" s="163"/>
      <c r="F39" s="163"/>
      <c r="G39" s="3"/>
    </row>
    <row r="40" spans="1:7" ht="15.75" customHeight="1">
      <c r="A40" s="21" t="str">
        <f>VLOOKUP(61,dict!$A:$C,Contents!$D$21,0)</f>
        <v>Нераспределенная прибыль</v>
      </c>
      <c r="B40" s="16">
        <v>15792</v>
      </c>
      <c r="C40" s="131">
        <v>14602</v>
      </c>
      <c r="D40" s="3"/>
      <c r="E40" s="163"/>
      <c r="F40" s="163"/>
      <c r="G40" s="3"/>
    </row>
    <row r="41" spans="1:7" ht="30">
      <c r="A41" s="21" t="str">
        <f>VLOOKUP(62,dict!$A:$C,Contents!$D$21,0)</f>
        <v>Фонд переоценки инвестиционных ценных бумаг, имеющихся в наличии для продажи</v>
      </c>
      <c r="B41" s="16">
        <v>456</v>
      </c>
      <c r="C41" s="131">
        <v>208</v>
      </c>
      <c r="D41" s="3"/>
      <c r="E41" s="163"/>
      <c r="F41" s="163"/>
      <c r="G41" s="3"/>
    </row>
    <row r="42" spans="1:7" ht="15.75" customHeight="1">
      <c r="A42" s="21" t="str">
        <f>VLOOKUP(63,dict!$A:$C,Contents!$D$21,0)</f>
        <v>ИТОГО КАПИТАЛ</v>
      </c>
      <c r="B42" s="20">
        <v>23804</v>
      </c>
      <c r="C42" s="134">
        <v>22366</v>
      </c>
      <c r="D42" s="3"/>
      <c r="E42" s="163"/>
      <c r="F42" s="163"/>
      <c r="G42" s="3"/>
    </row>
    <row r="43" spans="1:7" ht="15.75" customHeight="1" thickBot="1">
      <c r="A43" s="109" t="str">
        <f>VLOOKUP(64,dict!$A:$C,Contents!$D$21,0)</f>
        <v>ИТОГО ОБЯЗАТЕЛЬСТВА И КАПИТАЛ</v>
      </c>
      <c r="B43" s="18">
        <v>227922</v>
      </c>
      <c r="C43" s="166" t="s">
        <v>712</v>
      </c>
      <c r="D43" s="3"/>
      <c r="E43" s="163"/>
      <c r="F43" s="163"/>
      <c r="G43" s="3"/>
    </row>
    <row r="44" spans="1:26" s="106" customFormat="1" ht="15.75" customHeight="1" thickTop="1">
      <c r="A44" s="21"/>
      <c r="B44" s="123"/>
      <c r="C44" s="123"/>
      <c r="D44" s="123"/>
      <c r="E44" s="163"/>
      <c r="F44" s="163"/>
      <c r="G44" s="15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3"/>
      <c r="X44" s="3"/>
      <c r="Y44" s="3"/>
      <c r="Z44" s="3"/>
    </row>
    <row r="45" spans="1:26" ht="15.75" customHeight="1">
      <c r="A45" s="6"/>
      <c r="B45" s="83"/>
      <c r="C45" s="83"/>
      <c r="D45" s="83"/>
      <c r="E45" s="163"/>
      <c r="F45" s="163"/>
      <c r="G45" s="2"/>
      <c r="H45" s="2"/>
      <c r="I45" s="2"/>
      <c r="J45" s="8"/>
      <c r="K45" s="7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3"/>
      <c r="Z45" s="3"/>
    </row>
    <row r="46" spans="5:6" ht="15">
      <c r="E46" s="163"/>
      <c r="F46" s="163"/>
    </row>
    <row r="47" spans="5:6" ht="15">
      <c r="E47" s="163"/>
      <c r="F47" s="163"/>
    </row>
    <row r="48" spans="5:6" ht="15">
      <c r="E48" s="163"/>
      <c r="F48" s="163"/>
    </row>
    <row r="49" spans="5:6" ht="15">
      <c r="E49" s="163"/>
      <c r="F49" s="163"/>
    </row>
    <row r="50" spans="5:6" ht="15">
      <c r="E50" s="163"/>
      <c r="F50" s="163"/>
    </row>
  </sheetData>
  <sheetProtection/>
  <mergeCells count="6">
    <mergeCell ref="E6:E7"/>
    <mergeCell ref="F6:F7"/>
    <mergeCell ref="A6:A7"/>
    <mergeCell ref="B6:B7"/>
    <mergeCell ref="C6:C7"/>
    <mergeCell ref="D6:D7"/>
  </mergeCells>
  <hyperlinks>
    <hyperlink ref="D6" location="'Statement of compreh income'!A1" display="'Statement of compreh income'!A1"/>
    <hyperlink ref="C6" location="'Statement of financial position'!A1" display="'Statement of financial position'!A1"/>
    <hyperlink ref="E6" location="'Statement of changes in equity'!A1" display="'Statement of changes in equity'!A1"/>
    <hyperlink ref="F6" location="'Statement of cash flows'!A1" display="'Statement of cash flows'!A1"/>
    <hyperlink ref="B6:B7" location="Contents!A1" display="Содержание"/>
    <hyperlink ref="C6:C7" location="'Statement of fin position'!A1" display="'Statement of fin position'!A1"/>
  </hyperlinks>
  <printOptions/>
  <pageMargins left="0.27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A0C0E5"/>
    <outlinePr summaryRight="0"/>
  </sheetPr>
  <dimension ref="A3:AC5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4.77734375" style="30" customWidth="1"/>
    <col min="2" max="21" width="11.77734375" style="30" customWidth="1"/>
    <col min="22" max="22" width="8.88671875" style="30" customWidth="1"/>
    <col min="23" max="16384" width="8.88671875" style="30" customWidth="1"/>
  </cols>
  <sheetData>
    <row r="1" s="9" customFormat="1" ht="13.5" customHeight="1"/>
    <row r="2" s="9" customFormat="1" ht="13.5" customHeight="1"/>
    <row r="3" s="9" customFormat="1" ht="13.5" customHeight="1">
      <c r="B3" s="94" t="str">
        <f>VLOOKUP(329,dict!$A:$C,Contents!$D$21,0)</f>
        <v>Выбор языка</v>
      </c>
    </row>
    <row r="4" s="9" customFormat="1" ht="13.5" customHeight="1"/>
    <row r="5" s="9" customFormat="1" ht="13.5" customHeight="1"/>
    <row r="6" spans="1:6" s="9" customFormat="1" ht="24.75" customHeight="1">
      <c r="A6" s="183" t="str">
        <f>VLOOKUP(173,dict!$A:$C,Contents!$D$21,0)</f>
        <v>Отчет о прибыли или убытке и прочем совокупном доходе</v>
      </c>
      <c r="B6" s="175" t="str">
        <f>VLOOKUP(33,dict!$A:$C,Contents!$D$21,0)</f>
        <v>Содержание</v>
      </c>
      <c r="C6" s="175" t="str">
        <f>VLOOKUP(2,dict!$A:$C,Contents!$D$21,0)</f>
        <v>Отчет о финансовом положении</v>
      </c>
      <c r="D6" s="181" t="str">
        <f>VLOOKUP(6,dict!$A:$C,Contents!$D$21,0)</f>
        <v>Отчет о прибыли или убытке и прочем совокупном доходе</v>
      </c>
      <c r="E6" s="175" t="str">
        <f>VLOOKUP(8,dict!$A:$C,Contents!$D$21,0)</f>
        <v>Отчет об изменениях в капитале</v>
      </c>
      <c r="F6" s="175" t="str">
        <f>VLOOKUP(9,dict!$A:$C,Contents!$D$21,0)</f>
        <v>Отчет о движении денежных средств</v>
      </c>
    </row>
    <row r="7" spans="1:6" s="99" customFormat="1" ht="24.75" customHeight="1" thickBot="1">
      <c r="A7" s="184"/>
      <c r="B7" s="176"/>
      <c r="C7" s="176"/>
      <c r="D7" s="182"/>
      <c r="E7" s="176"/>
      <c r="F7" s="176"/>
    </row>
    <row r="8" spans="2:6" ht="15.75" customHeight="1" thickTop="1">
      <c r="B8" s="128"/>
      <c r="C8" s="128"/>
      <c r="D8" s="128"/>
      <c r="E8" s="128"/>
      <c r="F8" s="128"/>
    </row>
    <row r="9" spans="1:25" ht="15.75" customHeight="1">
      <c r="A9" s="6" t="str">
        <f>VLOOKUP(35,dict!$A:$C,Contents!$D$21,0)</f>
        <v>млн рублей</v>
      </c>
      <c r="B9" s="83"/>
      <c r="C9" s="83"/>
      <c r="D9" s="52"/>
      <c r="E9" s="2"/>
      <c r="F9" s="2"/>
      <c r="G9" s="2"/>
      <c r="H9" s="2"/>
      <c r="I9" s="8"/>
      <c r="J9" s="7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</row>
    <row r="10" spans="1:6" ht="15.75" customHeight="1">
      <c r="A10" s="13" t="str">
        <f>VLOOKUP(173,dict!$A:$C,Contents!$D$21,0)</f>
        <v>Отчет о прибыли или убытке и прочем совокупном доходе</v>
      </c>
      <c r="B10" s="135">
        <v>2014</v>
      </c>
      <c r="C10" s="136">
        <v>2013</v>
      </c>
      <c r="E10" s="52"/>
      <c r="F10" s="52"/>
    </row>
    <row r="11" spans="1:6" ht="15.75" customHeight="1">
      <c r="A11" s="11" t="str">
        <f>VLOOKUP(174,dict!$A:$C,Contents!$D$21,0)</f>
        <v>Процентные доходы</v>
      </c>
      <c r="B11" s="41">
        <v>20255</v>
      </c>
      <c r="C11" s="167">
        <v>19018</v>
      </c>
      <c r="D11" s="120"/>
      <c r="E11" s="52"/>
      <c r="F11" s="52"/>
    </row>
    <row r="12" spans="1:6" ht="15.75" customHeight="1">
      <c r="A12" s="137" t="str">
        <f>VLOOKUP(175,dict!$A:$C,Contents!$D$21,0)</f>
        <v>Процентные расходы</v>
      </c>
      <c r="B12" s="168" t="s">
        <v>713</v>
      </c>
      <c r="C12" s="169" t="s">
        <v>714</v>
      </c>
      <c r="D12" s="120"/>
      <c r="E12" s="52"/>
      <c r="F12" s="52"/>
    </row>
    <row r="13" spans="1:6" ht="15.75" customHeight="1">
      <c r="A13" s="12" t="str">
        <f>VLOOKUP(176,dict!$A:$C,Contents!$D$21,0)</f>
        <v>Чистые процентные доходы</v>
      </c>
      <c r="B13" s="170">
        <v>9786</v>
      </c>
      <c r="C13" s="171">
        <v>9486</v>
      </c>
      <c r="D13" s="120"/>
      <c r="E13" s="52"/>
      <c r="F13" s="52"/>
    </row>
    <row r="14" spans="1:6" ht="15.75" customHeight="1">
      <c r="A14" s="137" t="str">
        <f>VLOOKUP(177,dict!$A:$C,Contents!$D$21,0)</f>
        <v>Резерв под обесценение кредитного портфеля</v>
      </c>
      <c r="B14" s="168" t="s">
        <v>715</v>
      </c>
      <c r="C14" s="169" t="s">
        <v>716</v>
      </c>
      <c r="D14" s="120"/>
      <c r="E14" s="52"/>
      <c r="F14" s="52"/>
    </row>
    <row r="15" spans="1:6" ht="30.75" customHeight="1">
      <c r="A15" s="12" t="str">
        <f>VLOOKUP(178,dict!$A:$C,Contents!$D$21,0)</f>
        <v>Чистые процентные доходы после создания резерва под обесценение кредитного портфеля</v>
      </c>
      <c r="B15" s="31">
        <v>6594</v>
      </c>
      <c r="C15" s="118">
        <v>5647</v>
      </c>
      <c r="D15" s="120"/>
      <c r="E15" s="52"/>
      <c r="F15" s="52"/>
    </row>
    <row r="16" spans="1:6" ht="15.75" customHeight="1">
      <c r="A16" s="11" t="str">
        <f>VLOOKUP(179,dict!$A:$C,Contents!$D$21,0)</f>
        <v>Комиссионные доходы</v>
      </c>
      <c r="B16" s="41">
        <v>4720</v>
      </c>
      <c r="C16" s="167">
        <v>5172</v>
      </c>
      <c r="D16" s="120"/>
      <c r="E16" s="52"/>
      <c r="F16" s="52"/>
    </row>
    <row r="17" spans="1:6" ht="15.75" customHeight="1">
      <c r="A17" s="11" t="str">
        <f>VLOOKUP(180,dict!$A:$C,Contents!$D$21,0)</f>
        <v>Комиссионные расходы</v>
      </c>
      <c r="B17" s="41">
        <v>-756</v>
      </c>
      <c r="C17" s="167">
        <v>-663</v>
      </c>
      <c r="D17" s="120"/>
      <c r="E17" s="52"/>
      <c r="F17" s="52"/>
    </row>
    <row r="18" spans="1:6" ht="29.25" customHeight="1">
      <c r="A18" s="11" t="str">
        <f>VLOOKUP(367,dict!$A:$C,Contents!$D$21,0)</f>
        <v>Доходы за вычетом расходов по операциям с торговыми ценными бумагами</v>
      </c>
      <c r="B18" s="41">
        <v>-145</v>
      </c>
      <c r="C18" s="167">
        <v>19</v>
      </c>
      <c r="D18" s="120"/>
      <c r="E18" s="52"/>
      <c r="F18" s="52"/>
    </row>
    <row r="19" spans="1:6" ht="27" customHeight="1">
      <c r="A19" s="11" t="str">
        <f>VLOOKUP(368,dict!$A:$C,Contents!$D$21,0)</f>
        <v>Доходы за вычетом расходов по операциям с иностранной валютой</v>
      </c>
      <c r="B19" s="41">
        <v>-58</v>
      </c>
      <c r="C19" s="167">
        <v>139</v>
      </c>
      <c r="D19" s="120"/>
      <c r="E19" s="52"/>
      <c r="F19" s="52"/>
    </row>
    <row r="20" spans="1:6" ht="27" customHeight="1">
      <c r="A20" s="11" t="str">
        <f>VLOOKUP(369,dict!$A:$C,Contents!$D$21,0)</f>
        <v>Доходы за вычетом расходов от переоценки иностранной валюты</v>
      </c>
      <c r="B20" s="41">
        <v>468</v>
      </c>
      <c r="C20" s="167">
        <v>297</v>
      </c>
      <c r="D20" s="120"/>
      <c r="E20" s="52"/>
      <c r="F20" s="52"/>
    </row>
    <row r="21" spans="1:6" ht="30.75" customHeight="1">
      <c r="A21" s="11" t="str">
        <f>VLOOKUP(370,dict!$A:$C,Contents!$D$21,0)</f>
        <v>Доходы за вычетом расходов от реализации инвестиционных ценных бумаг, имеющихся в наличии для продажи</v>
      </c>
      <c r="B21" s="41">
        <v>3</v>
      </c>
      <c r="C21" s="167">
        <v>-1</v>
      </c>
      <c r="D21" s="120"/>
      <c r="E21" s="52"/>
      <c r="F21" s="52"/>
    </row>
    <row r="22" spans="1:6" ht="15.75" customHeight="1">
      <c r="A22" s="11" t="str">
        <f>VLOOKUP(181,dict!$A:$C,Contents!$D$21,0)</f>
        <v>Прочие операционные доходы</v>
      </c>
      <c r="B22" s="41">
        <v>361</v>
      </c>
      <c r="C22" s="167">
        <v>198</v>
      </c>
      <c r="D22" s="120"/>
      <c r="E22" s="52"/>
      <c r="F22" s="52"/>
    </row>
    <row r="23" spans="1:6" ht="15.75" customHeight="1">
      <c r="A23" s="11" t="str">
        <f>VLOOKUP(183,dict!$A:$C,Contents!$D$21,0)</f>
        <v>Административные и прочие операционные расходы</v>
      </c>
      <c r="B23" s="41" t="s">
        <v>717</v>
      </c>
      <c r="C23" s="167" t="s">
        <v>718</v>
      </c>
      <c r="D23" s="120"/>
      <c r="E23" s="52"/>
      <c r="F23" s="52"/>
    </row>
    <row r="24" spans="1:6" ht="15.75" customHeight="1">
      <c r="A24" s="11" t="str">
        <f>VLOOKUP(371,dict!$A:$C,Contents!$D$21,0)</f>
        <v>Обесценение инвестиционных ценных бумаг, имеющихся в наличии для продажи</v>
      </c>
      <c r="B24" s="41">
        <v>-92</v>
      </c>
      <c r="C24" s="167" t="s">
        <v>3</v>
      </c>
      <c r="D24" s="120"/>
      <c r="E24" s="52"/>
      <c r="F24" s="52"/>
    </row>
    <row r="25" spans="1:6" ht="15.75" customHeight="1">
      <c r="A25" s="137" t="str">
        <f>VLOOKUP(184,dict!$A:$C,Contents!$D$21,0)</f>
        <v>Резерв под обесценение прочих активов</v>
      </c>
      <c r="B25" s="168">
        <v>-238</v>
      </c>
      <c r="C25" s="169">
        <v>-147</v>
      </c>
      <c r="D25" s="120"/>
      <c r="E25" s="52"/>
      <c r="F25" s="52"/>
    </row>
    <row r="26" spans="1:6" ht="15.75" customHeight="1">
      <c r="A26" s="12" t="str">
        <f>VLOOKUP(185,dict!$A:$C,Contents!$D$21,0)</f>
        <v>Прибыль до налогообложения</v>
      </c>
      <c r="B26" s="31">
        <v>1493</v>
      </c>
      <c r="C26" s="118">
        <v>1884</v>
      </c>
      <c r="D26" s="120"/>
      <c r="E26" s="52"/>
      <c r="F26" s="52"/>
    </row>
    <row r="27" spans="1:6" ht="15.75" customHeight="1">
      <c r="A27" s="11" t="str">
        <f>VLOOKUP(186,dict!$A:$C,Contents!$D$21,0)</f>
        <v>Расходы по налогу на прибыль</v>
      </c>
      <c r="B27" s="26">
        <v>-289</v>
      </c>
      <c r="C27" s="114">
        <v>-392</v>
      </c>
      <c r="D27" s="120"/>
      <c r="E27" s="52"/>
      <c r="F27" s="52"/>
    </row>
    <row r="28" spans="1:6" ht="15.75" customHeight="1">
      <c r="A28" s="139" t="str">
        <f>VLOOKUP(187,dict!$A:$C,Contents!$D$21,0)</f>
        <v>Чистая прибыль </v>
      </c>
      <c r="B28" s="140">
        <v>1204</v>
      </c>
      <c r="C28" s="141">
        <v>1492</v>
      </c>
      <c r="D28" s="120"/>
      <c r="E28" s="52"/>
      <c r="F28" s="52"/>
    </row>
    <row r="29" spans="2:6" ht="15.75" customHeight="1">
      <c r="B29" s="142"/>
      <c r="C29" s="143"/>
      <c r="D29" s="120"/>
      <c r="E29" s="52"/>
      <c r="F29" s="52"/>
    </row>
    <row r="30" spans="1:6" ht="15.75" customHeight="1">
      <c r="A30" s="12" t="str">
        <f>VLOOKUP(372,dict!$A:$C,Contents!$D$21,0)</f>
        <v>Прочий совокупный доход</v>
      </c>
      <c r="B30" s="142"/>
      <c r="C30" s="143"/>
      <c r="D30" s="120"/>
      <c r="E30" s="52"/>
      <c r="F30" s="52"/>
    </row>
    <row r="31" spans="1:6" ht="32.25" customHeight="1">
      <c r="A31" s="12" t="str">
        <f>VLOOKUP(373,dict!$A:$C,Contents!$D$21,0)</f>
        <v>Статьи, которые впоследствии могут быть переклассифицированы в состав прибыли или убытка</v>
      </c>
      <c r="B31" s="142"/>
      <c r="C31" s="143"/>
      <c r="D31" s="120"/>
      <c r="E31" s="52"/>
      <c r="F31" s="52"/>
    </row>
    <row r="32" spans="1:6" ht="15.75" customHeight="1">
      <c r="A32" s="11" t="str">
        <f>VLOOKUP(374,dict!$A:$C,Contents!$D$21,0)</f>
        <v>Инвестиции, имеющиеся в наличии для продажи</v>
      </c>
      <c r="B32" s="142"/>
      <c r="C32" s="143"/>
      <c r="D32" s="120"/>
      <c r="E32" s="52"/>
      <c r="F32" s="52"/>
    </row>
    <row r="33" spans="1:6" ht="15.75" customHeight="1">
      <c r="A33" s="11" t="str">
        <f>VLOOKUP(375,dict!$A:$C,Contents!$D$21,0)</f>
        <v> - Изменение фонда переоценки</v>
      </c>
      <c r="B33" s="26">
        <v>286</v>
      </c>
      <c r="C33" s="114">
        <v>104</v>
      </c>
      <c r="D33" s="120"/>
      <c r="E33" s="52"/>
      <c r="F33" s="52"/>
    </row>
    <row r="34" spans="1:6" ht="30.75" customHeight="1">
      <c r="A34" s="11" t="str">
        <f>VLOOKUP(376,dict!$A:$C,Contents!$D$21,0)</f>
        <v> - Налог на прибыль, отраженный непосредственно в прочем совокупном доходе</v>
      </c>
      <c r="B34" s="26">
        <v>-38</v>
      </c>
      <c r="C34" s="114">
        <v>-23</v>
      </c>
      <c r="D34" s="120"/>
      <c r="E34" s="52"/>
      <c r="F34" s="52"/>
    </row>
    <row r="35" spans="1:6" ht="15.75" customHeight="1">
      <c r="A35" s="139" t="str">
        <f>VLOOKUP(377,dict!$A:$C,Contents!$D$21,0)</f>
        <v>Прочий совокупный доход за год</v>
      </c>
      <c r="B35" s="140">
        <v>248</v>
      </c>
      <c r="C35" s="141">
        <v>81</v>
      </c>
      <c r="D35" s="120"/>
      <c r="E35" s="52"/>
      <c r="F35" s="52"/>
    </row>
    <row r="36" spans="1:6" ht="28.5" customHeight="1" thickBot="1">
      <c r="A36" s="144" t="str">
        <f>VLOOKUP(378,dict!$A:$C,Contents!$D$21,0)</f>
        <v>Итого совокупный доход за год</v>
      </c>
      <c r="B36" s="145">
        <v>1452</v>
      </c>
      <c r="C36" s="146">
        <v>1573</v>
      </c>
      <c r="D36" s="120"/>
      <c r="E36" s="52"/>
      <c r="F36" s="52"/>
    </row>
    <row r="37" spans="1:6" ht="48" customHeight="1">
      <c r="A37" s="54" t="str">
        <f>VLOOKUP(188,dict!$A:$C,Contents!$D$21,0)</f>
        <v>Базовая и разводненная прибыль на акцию для прибыли, принадлежащей акционерам Банка 
(в российских рублях за акцию)</v>
      </c>
      <c r="B37" s="31"/>
      <c r="C37" s="118"/>
      <c r="D37" s="120"/>
      <c r="E37" s="52"/>
      <c r="F37" s="52"/>
    </row>
    <row r="38" spans="1:13" s="34" customFormat="1" ht="15.75" customHeight="1" thickBot="1">
      <c r="A38" s="105" t="str">
        <f>VLOOKUP(189,dict!$A:$C,Contents!$D$21,0)</f>
        <v>Обыкновенные акции</v>
      </c>
      <c r="B38" s="105">
        <v>48</v>
      </c>
      <c r="C38" s="121">
        <v>59</v>
      </c>
      <c r="D38" s="122"/>
      <c r="E38" s="52"/>
      <c r="F38" s="52"/>
      <c r="G38" s="30"/>
      <c r="H38" s="31"/>
      <c r="I38" s="32"/>
      <c r="J38" s="35"/>
      <c r="K38" s="35"/>
      <c r="L38" s="35"/>
      <c r="M38" s="35"/>
    </row>
    <row r="39" spans="1:29" s="34" customFormat="1" ht="15.75" customHeight="1" thickTop="1">
      <c r="A39" s="15"/>
      <c r="B39" s="15"/>
      <c r="C39" s="15"/>
      <c r="D39" s="15"/>
      <c r="E39" s="52"/>
      <c r="F39" s="5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U39" s="30"/>
      <c r="V39" s="30"/>
      <c r="W39" s="30"/>
      <c r="X39" s="31"/>
      <c r="Y39" s="32"/>
      <c r="Z39" s="35"/>
      <c r="AA39" s="35"/>
      <c r="AB39" s="35"/>
      <c r="AC39" s="35"/>
    </row>
    <row r="40" spans="5:6" ht="15.75">
      <c r="E40" s="52"/>
      <c r="F40" s="52"/>
    </row>
    <row r="41" spans="5:6" ht="15.75">
      <c r="E41" s="52"/>
      <c r="F41" s="52"/>
    </row>
    <row r="42" spans="5:6" ht="15.75">
      <c r="E42" s="52"/>
      <c r="F42" s="52"/>
    </row>
    <row r="43" spans="5:6" ht="15.75">
      <c r="E43" s="52"/>
      <c r="F43" s="52"/>
    </row>
    <row r="44" spans="5:6" ht="15.75">
      <c r="E44" s="52"/>
      <c r="F44" s="52"/>
    </row>
    <row r="45" spans="5:6" ht="15.75">
      <c r="E45" s="52"/>
      <c r="F45" s="52"/>
    </row>
    <row r="46" spans="5:6" ht="15.75">
      <c r="E46" s="52"/>
      <c r="F46" s="52"/>
    </row>
    <row r="47" spans="5:6" ht="15.75">
      <c r="E47" s="52"/>
      <c r="F47" s="52"/>
    </row>
    <row r="48" spans="5:6" ht="15.75">
      <c r="E48" s="52"/>
      <c r="F48" s="52"/>
    </row>
    <row r="49" spans="5:6" ht="15.75">
      <c r="E49" s="52"/>
      <c r="F49" s="52"/>
    </row>
    <row r="50" spans="5:6" ht="15.75">
      <c r="E50" s="52"/>
      <c r="F50" s="52"/>
    </row>
    <row r="51" spans="5:6" ht="15.75">
      <c r="E51" s="52"/>
      <c r="F51" s="52"/>
    </row>
    <row r="52" spans="5:6" ht="15.75">
      <c r="E52" s="52"/>
      <c r="F52" s="52"/>
    </row>
    <row r="53" spans="5:6" ht="15.75">
      <c r="E53" s="52"/>
      <c r="F53" s="52"/>
    </row>
    <row r="54" spans="5:6" ht="15.75">
      <c r="E54" s="52"/>
      <c r="F54" s="52"/>
    </row>
    <row r="55" spans="5:6" ht="15.75">
      <c r="E55" s="52"/>
      <c r="F55" s="52"/>
    </row>
  </sheetData>
  <sheetProtection/>
  <mergeCells count="6">
    <mergeCell ref="F6:F7"/>
    <mergeCell ref="D6:D7"/>
    <mergeCell ref="B6:B7"/>
    <mergeCell ref="A6:A7"/>
    <mergeCell ref="C6:C7"/>
    <mergeCell ref="E6:E7"/>
  </mergeCells>
  <hyperlinks>
    <hyperlink ref="D6" location="'Statement of compreh income'!A1" display="'Statement of compreh income'!A1"/>
    <hyperlink ref="C6" location="'Statement of financial position'!A1" display="'Statement of financial position'!A1"/>
    <hyperlink ref="E6" location="'Statement of changes in equity'!A1" display="'Statement of changes in equity'!A1"/>
    <hyperlink ref="F6" location="'Statement of cash flows'!A1" display="'Statement of cash flows'!A1"/>
    <hyperlink ref="B6:B7" location="Contents!A1" display="Содержание"/>
    <hyperlink ref="C6:C7" location="'Statement of fin position'!A1" display="'Statement of fin position'!A1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0C0E5"/>
  </sheetPr>
  <dimension ref="A3:F5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4.77734375" style="36" customWidth="1"/>
    <col min="2" max="2" width="11.77734375" style="37" customWidth="1"/>
    <col min="3" max="4" width="11.77734375" style="36" customWidth="1"/>
    <col min="5" max="5" width="12.6640625" style="36" customWidth="1"/>
    <col min="6" max="13" width="11.77734375" style="36" customWidth="1"/>
    <col min="14" max="19" width="8.88671875" style="36" customWidth="1"/>
    <col min="20" max="16384" width="8.88671875" style="36" customWidth="1"/>
  </cols>
  <sheetData>
    <row r="1" s="9" customFormat="1" ht="13.5" customHeight="1"/>
    <row r="2" s="9" customFormat="1" ht="13.5" customHeight="1"/>
    <row r="3" s="9" customFormat="1" ht="13.5" customHeight="1">
      <c r="B3" s="94" t="str">
        <f>VLOOKUP(329,dict!$A:$C,Contents!$D$21,0)</f>
        <v>Выбор языка</v>
      </c>
    </row>
    <row r="4" s="9" customFormat="1" ht="13.5" customHeight="1"/>
    <row r="5" s="9" customFormat="1" ht="13.5" customHeight="1"/>
    <row r="6" spans="1:6" s="9" customFormat="1" ht="24.75" customHeight="1">
      <c r="A6" s="177" t="str">
        <f>VLOOKUP(253,dict!$A:$C,Contents!$D$21,0)</f>
        <v>Отчет об изменениях в капитале</v>
      </c>
      <c r="B6" s="175" t="str">
        <f>VLOOKUP(33,dict!$A:$C,Contents!$D$21,0)</f>
        <v>Содержание</v>
      </c>
      <c r="C6" s="175" t="str">
        <f>VLOOKUP(2,dict!$A:$C,Contents!$D$21,0)</f>
        <v>Отчет о финансовом положении</v>
      </c>
      <c r="D6" s="175" t="str">
        <f>VLOOKUP(6,dict!$A:$C,Contents!$D$21,0)</f>
        <v>Отчет о прибыли или убытке и прочем совокупном доходе</v>
      </c>
      <c r="E6" s="181" t="str">
        <f>VLOOKUP(8,dict!$A:$C,Contents!$D$21,0)</f>
        <v>Отчет об изменениях в капитале</v>
      </c>
      <c r="F6" s="175" t="str">
        <f>VLOOKUP(9,dict!$A:$C,Contents!$D$21,0)</f>
        <v>Отчет о движении денежных средств</v>
      </c>
    </row>
    <row r="7" spans="1:6" s="99" customFormat="1" ht="24.75" customHeight="1" thickBot="1">
      <c r="A7" s="178"/>
      <c r="B7" s="176"/>
      <c r="C7" s="176"/>
      <c r="D7" s="176"/>
      <c r="E7" s="182"/>
      <c r="F7" s="176"/>
    </row>
    <row r="8" spans="1:6" ht="15.75" customHeight="1" thickTop="1">
      <c r="A8" s="38"/>
      <c r="B8" s="30"/>
      <c r="C8" s="30"/>
      <c r="D8" s="30"/>
      <c r="E8" s="30"/>
      <c r="F8" s="30"/>
    </row>
    <row r="9" spans="1:6" ht="15.75" customHeight="1">
      <c r="A9" s="23" t="str">
        <f>VLOOKUP(35,dict!$A:$C,Contents!$D$21,0)</f>
        <v>млн рублей</v>
      </c>
      <c r="B9" s="30"/>
      <c r="C9" s="30"/>
      <c r="D9" s="30"/>
      <c r="E9" s="30"/>
      <c r="F9" s="30"/>
    </row>
    <row r="10" spans="1:6" ht="77.25" customHeight="1">
      <c r="A10" s="39"/>
      <c r="B10" s="119" t="str">
        <f>VLOOKUP(59,dict!$A:$C,Contents!$D$21,0)</f>
        <v>Акционерный капитал</v>
      </c>
      <c r="C10" s="119" t="str">
        <f>VLOOKUP(60,dict!$A:$C,Contents!$D$21,0)</f>
        <v>Эмиссионный доход</v>
      </c>
      <c r="D10" s="126" t="str">
        <f>VLOOKUP(62,dict!$A:$C,Contents!$D$21,0)</f>
        <v>Фонд переоценки инвестиционных ценных бумаг, имеющихся в наличии для продажи</v>
      </c>
      <c r="E10" s="126" t="str">
        <f>VLOOKUP(61,dict!$A:$C,Contents!$D$21,0)</f>
        <v>Нераспределенная прибыль</v>
      </c>
      <c r="F10" s="126" t="str">
        <f>VLOOKUP(63,dict!$A:$C,Contents!$D$21,0)</f>
        <v>ИТОГО КАПИТАЛ</v>
      </c>
    </row>
    <row r="11" spans="1:6" ht="15.75" customHeight="1">
      <c r="A11" s="28" t="str">
        <f>VLOOKUP(254,dict!$A:$C,Contents!$D$21,0)</f>
        <v>Остаток на 31 декабря 2012 года</v>
      </c>
      <c r="B11" s="31">
        <v>250</v>
      </c>
      <c r="C11" s="31">
        <v>7306</v>
      </c>
      <c r="D11" s="31">
        <v>127</v>
      </c>
      <c r="E11" s="31">
        <v>13124</v>
      </c>
      <c r="F11" s="118">
        <v>20807</v>
      </c>
    </row>
    <row r="12" spans="1:6" ht="15.75" customHeight="1">
      <c r="A12" s="149" t="str">
        <f>VLOOKUP(379,dict!$A:$C,Contents!$D$21,0)</f>
        <v>Прибыль за год</v>
      </c>
      <c r="B12" s="153" t="s">
        <v>3</v>
      </c>
      <c r="C12" s="153" t="s">
        <v>3</v>
      </c>
      <c r="D12" s="153" t="s">
        <v>707</v>
      </c>
      <c r="E12" s="147">
        <v>1492</v>
      </c>
      <c r="F12" s="150">
        <v>1492</v>
      </c>
    </row>
    <row r="13" spans="1:6" ht="15.75" customHeight="1">
      <c r="A13" s="151" t="str">
        <f>VLOOKUP(380,dict!$A:$C,Contents!$D$21,0)</f>
        <v>Прочий совокупный доход за год</v>
      </c>
      <c r="B13" s="154" t="s">
        <v>3</v>
      </c>
      <c r="C13" s="154" t="s">
        <v>3</v>
      </c>
      <c r="D13" s="148">
        <v>81</v>
      </c>
      <c r="E13" s="154" t="s">
        <v>3</v>
      </c>
      <c r="F13" s="152">
        <v>81</v>
      </c>
    </row>
    <row r="14" spans="1:6" ht="15.75" customHeight="1">
      <c r="A14" s="40" t="str">
        <f>VLOOKUP(255,dict!$A:$C,Contents!$D$21,0)</f>
        <v>Итого совокупный доход за 2013 год</v>
      </c>
      <c r="B14" s="41" t="s">
        <v>3</v>
      </c>
      <c r="C14" s="41" t="s">
        <v>3</v>
      </c>
      <c r="D14" s="26">
        <v>81</v>
      </c>
      <c r="E14" s="26">
        <v>1492</v>
      </c>
      <c r="F14" s="114">
        <v>1573</v>
      </c>
    </row>
    <row r="15" spans="1:6" ht="15.75" customHeight="1">
      <c r="A15" s="155" t="str">
        <f>VLOOKUP(256,dict!$A:$C,Contents!$D$21,0)</f>
        <v>Дивиденды объявленные</v>
      </c>
      <c r="B15" s="156" t="s">
        <v>3</v>
      </c>
      <c r="C15" s="156" t="s">
        <v>3</v>
      </c>
      <c r="D15" s="156" t="s">
        <v>3</v>
      </c>
      <c r="E15" s="157">
        <v>-14</v>
      </c>
      <c r="F15" s="158">
        <v>-14</v>
      </c>
    </row>
    <row r="16" spans="1:6" ht="15.75" customHeight="1" thickBot="1">
      <c r="A16" s="159" t="str">
        <f>VLOOKUP(257,dict!$A:$C,Contents!$D$21,0)</f>
        <v>Остаток на 31 декабря 2013 года</v>
      </c>
      <c r="B16" s="160">
        <v>250</v>
      </c>
      <c r="C16" s="160">
        <v>7306</v>
      </c>
      <c r="D16" s="160">
        <v>208</v>
      </c>
      <c r="E16" s="160">
        <v>14602</v>
      </c>
      <c r="F16" s="161">
        <v>22366</v>
      </c>
    </row>
    <row r="17" spans="1:6" ht="15.75" customHeight="1" thickTop="1">
      <c r="A17" s="149" t="str">
        <f>VLOOKUP(379,dict!$A:$C,Contents!$D$21,0)</f>
        <v>Прибыль за год</v>
      </c>
      <c r="B17" s="153" t="s">
        <v>3</v>
      </c>
      <c r="C17" s="153" t="s">
        <v>3</v>
      </c>
      <c r="D17" s="153" t="s">
        <v>3</v>
      </c>
      <c r="E17" s="147">
        <v>1204</v>
      </c>
      <c r="F17" s="150">
        <v>1204</v>
      </c>
    </row>
    <row r="18" spans="1:6" ht="15.75" customHeight="1">
      <c r="A18" s="151" t="str">
        <f>VLOOKUP(380,dict!$A:$C,Contents!$D$21,0)</f>
        <v>Прочий совокупный доход за год</v>
      </c>
      <c r="B18" s="154" t="s">
        <v>3</v>
      </c>
      <c r="C18" s="154" t="s">
        <v>3</v>
      </c>
      <c r="D18" s="148">
        <v>248</v>
      </c>
      <c r="E18" s="154" t="s">
        <v>3</v>
      </c>
      <c r="F18" s="152">
        <v>248</v>
      </c>
    </row>
    <row r="19" spans="1:6" ht="15.75" customHeight="1">
      <c r="A19" s="40" t="str">
        <f>VLOOKUP(258,dict!$A:$C,Contents!$D$21,0)</f>
        <v>Итого совокупный доход за 2014 год</v>
      </c>
      <c r="B19" s="41" t="s">
        <v>3</v>
      </c>
      <c r="C19" s="41" t="s">
        <v>3</v>
      </c>
      <c r="D19" s="26">
        <v>248</v>
      </c>
      <c r="E19" s="26">
        <v>1204</v>
      </c>
      <c r="F19" s="114">
        <v>1452</v>
      </c>
    </row>
    <row r="20" spans="1:6" ht="15.75" customHeight="1">
      <c r="A20" s="155" t="str">
        <f>VLOOKUP(256,dict!$A:$C,Contents!$D$21,0)</f>
        <v>Дивиденды объявленные</v>
      </c>
      <c r="B20" s="156" t="s">
        <v>3</v>
      </c>
      <c r="C20" s="156" t="s">
        <v>3</v>
      </c>
      <c r="D20" s="156" t="s">
        <v>3</v>
      </c>
      <c r="E20" s="157">
        <v>-14</v>
      </c>
      <c r="F20" s="158">
        <v>-14</v>
      </c>
    </row>
    <row r="21" spans="1:6" ht="15.75" customHeight="1" thickBot="1">
      <c r="A21" s="10" t="str">
        <f>VLOOKUP(259,dict!$A:$C,Contents!$D$21,0)</f>
        <v>Остаток на 31 декабря 2014 года</v>
      </c>
      <c r="B21" s="18">
        <v>250</v>
      </c>
      <c r="C21" s="18">
        <v>7306</v>
      </c>
      <c r="D21" s="18">
        <v>456</v>
      </c>
      <c r="E21" s="18">
        <v>15792</v>
      </c>
      <c r="F21" s="117">
        <v>23804</v>
      </c>
    </row>
    <row r="22" spans="1:6" ht="15.75" customHeight="1" thickTop="1">
      <c r="A22" s="12"/>
      <c r="B22" s="20"/>
      <c r="C22" s="20"/>
      <c r="D22" s="20"/>
      <c r="E22" s="20"/>
      <c r="F22" s="20"/>
    </row>
    <row r="26" spans="3:6" ht="15">
      <c r="C26" s="37"/>
      <c r="D26" s="37"/>
      <c r="E26" s="37"/>
      <c r="F26" s="37"/>
    </row>
    <row r="27" spans="3:6" ht="15">
      <c r="C27" s="37"/>
      <c r="D27" s="37"/>
      <c r="E27" s="37"/>
      <c r="F27" s="37"/>
    </row>
    <row r="28" spans="3:6" ht="15">
      <c r="C28" s="37"/>
      <c r="D28" s="37"/>
      <c r="E28" s="37"/>
      <c r="F28" s="37"/>
    </row>
    <row r="29" spans="3:6" ht="15">
      <c r="C29" s="37"/>
      <c r="D29" s="37"/>
      <c r="E29" s="37"/>
      <c r="F29" s="37"/>
    </row>
    <row r="30" spans="3:6" ht="15">
      <c r="C30" s="37"/>
      <c r="D30" s="37"/>
      <c r="E30" s="37"/>
      <c r="F30" s="37"/>
    </row>
    <row r="31" spans="3:6" ht="15">
      <c r="C31" s="37"/>
      <c r="D31" s="37"/>
      <c r="E31" s="37"/>
      <c r="F31" s="37"/>
    </row>
    <row r="32" spans="3:6" ht="15">
      <c r="C32" s="37"/>
      <c r="D32" s="37"/>
      <c r="E32" s="37"/>
      <c r="F32" s="37"/>
    </row>
    <row r="33" spans="3:6" ht="15">
      <c r="C33" s="37"/>
      <c r="D33" s="37"/>
      <c r="E33" s="37"/>
      <c r="F33" s="37"/>
    </row>
    <row r="34" spans="3:6" ht="15">
      <c r="C34" s="37"/>
      <c r="D34" s="37"/>
      <c r="E34" s="37"/>
      <c r="F34" s="37"/>
    </row>
    <row r="35" spans="3:6" ht="15">
      <c r="C35" s="37"/>
      <c r="D35" s="37"/>
      <c r="E35" s="37"/>
      <c r="F35" s="37"/>
    </row>
    <row r="36" spans="3:6" ht="15">
      <c r="C36" s="37"/>
      <c r="D36" s="37"/>
      <c r="E36" s="37"/>
      <c r="F36" s="37"/>
    </row>
    <row r="37" spans="3:6" ht="15">
      <c r="C37" s="37"/>
      <c r="D37" s="37"/>
      <c r="E37" s="37"/>
      <c r="F37" s="37"/>
    </row>
    <row r="38" spans="3:6" ht="15">
      <c r="C38" s="37"/>
      <c r="D38" s="37"/>
      <c r="E38" s="37"/>
      <c r="F38" s="37"/>
    </row>
    <row r="39" spans="3:6" ht="15">
      <c r="C39" s="37"/>
      <c r="D39" s="37"/>
      <c r="E39" s="37"/>
      <c r="F39" s="37"/>
    </row>
    <row r="40" spans="3:6" ht="15">
      <c r="C40" s="37"/>
      <c r="D40" s="37"/>
      <c r="E40" s="37"/>
      <c r="F40" s="37"/>
    </row>
    <row r="41" spans="3:6" ht="15">
      <c r="C41" s="37"/>
      <c r="D41" s="37"/>
      <c r="E41" s="37"/>
      <c r="F41" s="37"/>
    </row>
    <row r="42" spans="3:6" ht="15">
      <c r="C42" s="37"/>
      <c r="D42" s="37"/>
      <c r="E42" s="37"/>
      <c r="F42" s="37"/>
    </row>
    <row r="43" spans="3:6" ht="15">
      <c r="C43" s="37"/>
      <c r="D43" s="37"/>
      <c r="E43" s="37"/>
      <c r="F43" s="37"/>
    </row>
    <row r="44" spans="3:6" ht="15">
      <c r="C44" s="37"/>
      <c r="D44" s="37"/>
      <c r="E44" s="37"/>
      <c r="F44" s="37"/>
    </row>
    <row r="45" spans="3:6" ht="15">
      <c r="C45" s="37"/>
      <c r="D45" s="37"/>
      <c r="E45" s="37"/>
      <c r="F45" s="37"/>
    </row>
    <row r="46" spans="3:6" ht="15">
      <c r="C46" s="37"/>
      <c r="D46" s="37"/>
      <c r="E46" s="37"/>
      <c r="F46" s="37"/>
    </row>
    <row r="47" spans="3:6" ht="15">
      <c r="C47" s="37"/>
      <c r="D47" s="37"/>
      <c r="E47" s="37"/>
      <c r="F47" s="37"/>
    </row>
    <row r="48" spans="3:6" ht="15">
      <c r="C48" s="37"/>
      <c r="D48" s="37"/>
      <c r="E48" s="37"/>
      <c r="F48" s="37"/>
    </row>
    <row r="49" spans="3:6" ht="15">
      <c r="C49" s="37"/>
      <c r="D49" s="37"/>
      <c r="E49" s="37"/>
      <c r="F49" s="37"/>
    </row>
    <row r="50" spans="3:6" ht="15">
      <c r="C50" s="37"/>
      <c r="D50" s="37"/>
      <c r="E50" s="37"/>
      <c r="F50" s="37"/>
    </row>
    <row r="51" spans="3:6" ht="15">
      <c r="C51" s="37"/>
      <c r="D51" s="37"/>
      <c r="E51" s="37"/>
      <c r="F51" s="37"/>
    </row>
    <row r="52" spans="3:6" ht="15">
      <c r="C52" s="37"/>
      <c r="D52" s="37"/>
      <c r="E52" s="37"/>
      <c r="F52" s="37"/>
    </row>
    <row r="53" spans="3:6" ht="15">
      <c r="C53" s="37"/>
      <c r="D53" s="37"/>
      <c r="E53" s="37"/>
      <c r="F53" s="37"/>
    </row>
    <row r="54" spans="3:6" ht="15">
      <c r="C54" s="37"/>
      <c r="D54" s="37"/>
      <c r="E54" s="37"/>
      <c r="F54" s="37"/>
    </row>
  </sheetData>
  <sheetProtection/>
  <mergeCells count="6">
    <mergeCell ref="E6:E7"/>
    <mergeCell ref="F6:F7"/>
    <mergeCell ref="A6:A7"/>
    <mergeCell ref="B6:B7"/>
    <mergeCell ref="C6:C7"/>
    <mergeCell ref="D6:D7"/>
  </mergeCells>
  <hyperlinks>
    <hyperlink ref="D6" location="'Statement of compreh income'!A1" display="'Statement of compreh income'!A1"/>
    <hyperlink ref="C6" location="'Statement of financial position'!A1" display="'Statement of financial position'!A1"/>
    <hyperlink ref="E6" location="'Statement of changes in equity'!A1" display="'Statement of changes in equity'!A1"/>
    <hyperlink ref="F6" location="'Statement of cash flows'!A1" display="'Statement of cash flows'!A1"/>
    <hyperlink ref="B6:B7" location="Contents!A1" display="Содержание"/>
    <hyperlink ref="C6:C7" location="KPI!A1" display="KPI!A1"/>
  </hyperlinks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A0C0E5"/>
  </sheetPr>
  <dimension ref="A3:U7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4.77734375" style="33" customWidth="1"/>
    <col min="2" max="2" width="11.77734375" style="45" customWidth="1"/>
    <col min="3" max="3" width="11.77734375" style="46" customWidth="1"/>
    <col min="4" max="13" width="11.77734375" style="33" customWidth="1"/>
    <col min="14" max="19" width="8.88671875" style="33" customWidth="1"/>
    <col min="20" max="16384" width="8.88671875" style="33" customWidth="1"/>
  </cols>
  <sheetData>
    <row r="1" s="9" customFormat="1" ht="13.5" customHeight="1"/>
    <row r="2" s="9" customFormat="1" ht="13.5" customHeight="1"/>
    <row r="3" s="9" customFormat="1" ht="13.5" customHeight="1">
      <c r="B3" s="94" t="str">
        <f>VLOOKUP(329,dict!$A:$C,Contents!$D$21,0)</f>
        <v>Выбор языка</v>
      </c>
    </row>
    <row r="4" s="9" customFormat="1" ht="13.5" customHeight="1"/>
    <row r="5" s="9" customFormat="1" ht="13.5" customHeight="1"/>
    <row r="6" spans="1:6" s="9" customFormat="1" ht="24.75" customHeight="1">
      <c r="A6" s="177" t="str">
        <f>VLOOKUP(270,dict!$A:$C,Contents!$D$21,0)</f>
        <v>Отчет о движении денежных средств</v>
      </c>
      <c r="B6" s="175" t="str">
        <f>VLOOKUP(33,dict!$A:$C,Contents!$D$21,0)</f>
        <v>Содержание</v>
      </c>
      <c r="C6" s="175" t="str">
        <f>VLOOKUP(2,dict!$A:$C,Contents!$D$21,0)</f>
        <v>Отчет о финансовом положении</v>
      </c>
      <c r="D6" s="175" t="str">
        <f>VLOOKUP(6,dict!$A:$C,Contents!$D$21,0)</f>
        <v>Отчет о прибыли или убытке и прочем совокупном доходе</v>
      </c>
      <c r="E6" s="175" t="str">
        <f>VLOOKUP(8,dict!$A:$C,Contents!$D$21,0)</f>
        <v>Отчет об изменениях в капитале</v>
      </c>
      <c r="F6" s="181" t="str">
        <f>VLOOKUP(9,dict!$A:$C,Contents!$D$21,0)</f>
        <v>Отчет о движении денежных средств</v>
      </c>
    </row>
    <row r="7" spans="1:6" s="99" customFormat="1" ht="24.75" customHeight="1" thickBot="1">
      <c r="A7" s="178"/>
      <c r="B7" s="176"/>
      <c r="C7" s="176"/>
      <c r="D7" s="176"/>
      <c r="E7" s="176"/>
      <c r="F7" s="182"/>
    </row>
    <row r="8" spans="1:3" s="24" customFormat="1" ht="15.75" customHeight="1" thickTop="1">
      <c r="A8" s="38"/>
      <c r="B8" s="32"/>
      <c r="C8" s="30"/>
    </row>
    <row r="9" spans="1:21" s="27" customFormat="1" ht="15.75" customHeight="1">
      <c r="A9" s="23" t="str">
        <f>VLOOKUP(35,dict!$A:$C,Contents!$D$21,0)</f>
        <v>млн рублей</v>
      </c>
      <c r="B9" s="32"/>
      <c r="C9" s="32"/>
      <c r="U9" s="33"/>
    </row>
    <row r="10" spans="1:20" ht="15.75" customHeight="1">
      <c r="A10" s="112" t="str">
        <f>VLOOKUP(271,dict!$A:$C,Contents!$D$21,0)</f>
        <v>Денежные средства от операционной деятельности </v>
      </c>
      <c r="B10" s="135">
        <v>2014</v>
      </c>
      <c r="C10" s="136">
        <v>2013</v>
      </c>
      <c r="T10" s="36"/>
    </row>
    <row r="11" spans="1:20" ht="15.75" customHeight="1">
      <c r="A11" s="28" t="str">
        <f>VLOOKUP(272,dict!$A:$C,Contents!$D$21,0)</f>
        <v>Проценты полученные</v>
      </c>
      <c r="B11" s="41">
        <v>20213</v>
      </c>
      <c r="C11" s="167">
        <v>19249</v>
      </c>
      <c r="T11" s="36"/>
    </row>
    <row r="12" spans="1:21" s="36" customFormat="1" ht="15.75" customHeight="1">
      <c r="A12" s="28" t="str">
        <f>VLOOKUP(273,dict!$A:$C,Contents!$D$21,0)</f>
        <v>Проценты уплаченные</v>
      </c>
      <c r="B12" s="41" t="s">
        <v>723</v>
      </c>
      <c r="C12" s="167" t="s">
        <v>724</v>
      </c>
      <c r="E12" s="33"/>
      <c r="F12" s="33"/>
      <c r="U12" s="33"/>
    </row>
    <row r="13" spans="1:21" s="36" customFormat="1" ht="15.75" customHeight="1">
      <c r="A13" s="28" t="str">
        <f>VLOOKUP(274,dict!$A:$C,Contents!$D$21,0)</f>
        <v>Комиссии полученные</v>
      </c>
      <c r="B13" s="41">
        <v>4707</v>
      </c>
      <c r="C13" s="167">
        <v>5206</v>
      </c>
      <c r="E13" s="33"/>
      <c r="F13" s="33"/>
      <c r="U13" s="33"/>
    </row>
    <row r="14" spans="1:21" s="36" customFormat="1" ht="15.75" customHeight="1">
      <c r="A14" s="28" t="str">
        <f>VLOOKUP(275,dict!$A:$C,Contents!$D$21,0)</f>
        <v>Комиссии уплаченные</v>
      </c>
      <c r="B14" s="41">
        <v>-803</v>
      </c>
      <c r="C14" s="167">
        <v>-653</v>
      </c>
      <c r="E14" s="33"/>
      <c r="F14" s="33"/>
      <c r="U14" s="33"/>
    </row>
    <row r="15" spans="1:20" ht="30" customHeight="1">
      <c r="A15" s="11" t="str">
        <f>VLOOKUP(276,dict!$A:$C,Contents!$D$21,0)</f>
        <v>Чистые доходы, полученные по операциям с торговыми ценными бумагами</v>
      </c>
      <c r="B15" s="41">
        <v>-34</v>
      </c>
      <c r="C15" s="167">
        <v>5</v>
      </c>
      <c r="T15" s="36"/>
    </row>
    <row r="16" spans="1:21" s="47" customFormat="1" ht="30" customHeight="1">
      <c r="A16" s="11" t="str">
        <f>VLOOKUP(277,dict!$A:$C,Contents!$D$21,0)</f>
        <v>Чистые доходы, полученные по операциям с иностранной валютой</v>
      </c>
      <c r="B16" s="41">
        <v>-58</v>
      </c>
      <c r="C16" s="167">
        <v>139</v>
      </c>
      <c r="E16" s="33"/>
      <c r="F16" s="33"/>
      <c r="T16" s="36"/>
      <c r="U16" s="33"/>
    </row>
    <row r="17" spans="1:21" s="47" customFormat="1" ht="15.75" customHeight="1">
      <c r="A17" s="28" t="str">
        <f>VLOOKUP(278,dict!$A:$C,Contents!$D$21,0)</f>
        <v>Прочие полученные операционные доходы</v>
      </c>
      <c r="B17" s="41">
        <v>305</v>
      </c>
      <c r="C17" s="167">
        <v>185</v>
      </c>
      <c r="E17" s="33"/>
      <c r="F17" s="33"/>
      <c r="T17" s="36"/>
      <c r="U17" s="33"/>
    </row>
    <row r="18" spans="1:21" s="47" customFormat="1" ht="30" customHeight="1">
      <c r="A18" s="11" t="str">
        <f>VLOOKUP(279,dict!$A:$C,Contents!$D$21,0)</f>
        <v>Уплаченные административные и прочие операционные расходы</v>
      </c>
      <c r="B18" s="41" t="s">
        <v>725</v>
      </c>
      <c r="C18" s="167" t="s">
        <v>726</v>
      </c>
      <c r="E18" s="33"/>
      <c r="F18" s="33"/>
      <c r="T18" s="36"/>
      <c r="U18" s="33"/>
    </row>
    <row r="19" spans="1:21" s="47" customFormat="1" ht="15.75" customHeight="1">
      <c r="A19" s="28" t="str">
        <f>VLOOKUP(280,dict!$A:$C,Contents!$D$21,0)</f>
        <v>Уплаченный налог на прибыль</v>
      </c>
      <c r="B19" s="41">
        <v>-255</v>
      </c>
      <c r="C19" s="167">
        <v>-561</v>
      </c>
      <c r="E19" s="33"/>
      <c r="F19" s="33"/>
      <c r="T19" s="36"/>
      <c r="U19" s="33"/>
    </row>
    <row r="20" spans="1:21" s="47" customFormat="1" ht="30" customHeight="1" thickBot="1">
      <c r="A20" s="17" t="str">
        <f>VLOOKUP(281,dict!$A:$C,Contents!$D$21,0)</f>
        <v>Денежные средства, полученные от операционной деятельности до изменений в операционных активах и обязательствах</v>
      </c>
      <c r="B20" s="53">
        <v>4557</v>
      </c>
      <c r="C20" s="116">
        <v>5716</v>
      </c>
      <c r="E20" s="33"/>
      <c r="F20" s="33"/>
      <c r="T20" s="36"/>
      <c r="U20" s="33"/>
    </row>
    <row r="21" spans="1:21" s="47" customFormat="1" ht="15.75" thickTop="1">
      <c r="A21" s="15"/>
      <c r="B21" s="113"/>
      <c r="C21" s="113"/>
      <c r="E21" s="33"/>
      <c r="F21" s="33"/>
      <c r="T21" s="36"/>
      <c r="U21" s="33"/>
    </row>
    <row r="22" spans="1:20" ht="15">
      <c r="A22" s="112" t="str">
        <f>VLOOKUP(282,dict!$A:$C,Contents!$D$21,0)</f>
        <v>Изменение в операционных активах и обязательствах</v>
      </c>
      <c r="B22" s="135">
        <v>2014</v>
      </c>
      <c r="C22" s="136">
        <v>2013</v>
      </c>
      <c r="T22" s="36"/>
    </row>
    <row r="23" spans="1:21" s="47" customFormat="1" ht="30">
      <c r="A23" s="11" t="str">
        <f>VLOOKUP(283,dict!$A:$C,Contents!$D$21,0)</f>
        <v>Чистое снижение/(прирост) по обязательным резервам в Центральном банке Российской Федерации</v>
      </c>
      <c r="B23" s="41">
        <v>-85</v>
      </c>
      <c r="C23" s="167">
        <v>317</v>
      </c>
      <c r="E23" s="33"/>
      <c r="F23" s="33"/>
      <c r="T23" s="36"/>
      <c r="U23" s="33"/>
    </row>
    <row r="24" spans="1:21" s="47" customFormat="1" ht="15">
      <c r="A24" s="11" t="str">
        <f>VLOOKUP(284,dict!$A:$C,Contents!$D$21,0)</f>
        <v>Чистое снижение по торговым ценным бумагам</v>
      </c>
      <c r="B24" s="41" t="s">
        <v>727</v>
      </c>
      <c r="C24" s="167">
        <v>1632</v>
      </c>
      <c r="E24" s="33"/>
      <c r="F24" s="33"/>
      <c r="T24" s="36"/>
      <c r="U24" s="33"/>
    </row>
    <row r="25" spans="1:21" s="47" customFormat="1" ht="15">
      <c r="A25" s="11" t="str">
        <f>VLOOKUP(285,dict!$A:$C,Contents!$D$21,0)</f>
        <v>Чистое снижение/(прирост) по средствам в других банках</v>
      </c>
      <c r="B25" s="41">
        <v>-62</v>
      </c>
      <c r="C25" s="167">
        <v>5183</v>
      </c>
      <c r="E25" s="33"/>
      <c r="F25" s="33"/>
      <c r="T25" s="36"/>
      <c r="U25" s="33"/>
    </row>
    <row r="26" spans="1:21" s="47" customFormat="1" ht="15">
      <c r="A26" s="11" t="str">
        <f>VLOOKUP(286,dict!$A:$C,Contents!$D$21,0)</f>
        <v>Чистый прирост по кредитам и авансам клиентам</v>
      </c>
      <c r="B26" s="41">
        <v>4125</v>
      </c>
      <c r="C26" s="167" t="s">
        <v>728</v>
      </c>
      <c r="E26" s="33"/>
      <c r="F26" s="33"/>
      <c r="T26" s="36"/>
      <c r="U26" s="33"/>
    </row>
    <row r="27" spans="1:21" s="47" customFormat="1" ht="30">
      <c r="A27" s="11" t="str">
        <f>VLOOKUP(287,dict!$A:$C,Contents!$D$21,0)</f>
        <v>Чистое снижение/(прирост) по прочим финансовым активам</v>
      </c>
      <c r="B27" s="41">
        <v>11</v>
      </c>
      <c r="C27" s="167">
        <v>134</v>
      </c>
      <c r="E27" s="33"/>
      <c r="F27" s="33"/>
      <c r="T27" s="36"/>
      <c r="U27" s="33"/>
    </row>
    <row r="28" spans="1:21" s="47" customFormat="1" ht="15">
      <c r="A28" s="11" t="str">
        <f>VLOOKUP(288,dict!$A:$C,Contents!$D$21,0)</f>
        <v>Чистый прирост по прочим активам</v>
      </c>
      <c r="B28" s="41">
        <v>-158</v>
      </c>
      <c r="C28" s="167">
        <v>-81</v>
      </c>
      <c r="E28" s="33"/>
      <c r="F28" s="33"/>
      <c r="T28" s="36"/>
      <c r="U28" s="33"/>
    </row>
    <row r="29" spans="1:21" s="47" customFormat="1" ht="15">
      <c r="A29" s="11" t="str">
        <f>VLOOKUP(289,dict!$A:$C,Contents!$D$21,0)</f>
        <v>Чистый прирост по средствам других банков</v>
      </c>
      <c r="B29" s="41">
        <v>9402</v>
      </c>
      <c r="C29" s="167">
        <v>1447</v>
      </c>
      <c r="E29" s="33"/>
      <c r="F29" s="33"/>
      <c r="T29" s="36"/>
      <c r="U29" s="33"/>
    </row>
    <row r="30" spans="1:21" s="47" customFormat="1" ht="15">
      <c r="A30" s="11" t="str">
        <f>VLOOKUP(290,dict!$A:$C,Contents!$D$21,0)</f>
        <v>Чистое (снижение)/прирост по средствам клиентов</v>
      </c>
      <c r="B30" s="41" t="s">
        <v>729</v>
      </c>
      <c r="C30" s="167" t="s">
        <v>730</v>
      </c>
      <c r="E30" s="33"/>
      <c r="F30" s="33"/>
      <c r="T30" s="36"/>
      <c r="U30" s="33"/>
    </row>
    <row r="31" spans="1:21" s="47" customFormat="1" ht="15">
      <c r="A31" s="11" t="str">
        <f>VLOOKUP(290.1,dict!$A:$C,Contents!$D$21,0)</f>
        <v>Чистый прирост по прочим заемным средствам</v>
      </c>
      <c r="B31" s="41" t="s">
        <v>731</v>
      </c>
      <c r="C31" s="167">
        <v>200</v>
      </c>
      <c r="E31" s="33"/>
      <c r="F31" s="33"/>
      <c r="T31" s="36"/>
      <c r="U31" s="33"/>
    </row>
    <row r="32" spans="1:21" s="47" customFormat="1" ht="15" customHeight="1">
      <c r="A32" s="11" t="str">
        <f>VLOOKUP(291,dict!$A:$C,Contents!$D$21,0)</f>
        <v>Чистый прирост по выпущенным долговым ценным бумагам</v>
      </c>
      <c r="B32" s="41" t="s">
        <v>732</v>
      </c>
      <c r="C32" s="167">
        <v>3178</v>
      </c>
      <c r="E32" s="33"/>
      <c r="F32" s="33"/>
      <c r="T32" s="36"/>
      <c r="U32" s="33"/>
    </row>
    <row r="33" spans="1:21" s="47" customFormat="1" ht="15">
      <c r="A33" s="11" t="str">
        <f>VLOOKUP(292,dict!$A:$C,Contents!$D$21,0)</f>
        <v>Чистое снижение по прочим финансовым обязательствам</v>
      </c>
      <c r="B33" s="41">
        <v>215</v>
      </c>
      <c r="C33" s="167">
        <v>-28</v>
      </c>
      <c r="E33" s="33"/>
      <c r="F33" s="33"/>
      <c r="T33" s="36"/>
      <c r="U33" s="33"/>
    </row>
    <row r="34" spans="1:21" s="47" customFormat="1" ht="15">
      <c r="A34" s="11" t="str">
        <f>VLOOKUP(293,dict!$A:$C,Contents!$D$21,0)</f>
        <v>Чистый прирост по прочим обязательствам</v>
      </c>
      <c r="B34" s="41">
        <v>-114</v>
      </c>
      <c r="C34" s="167">
        <v>24</v>
      </c>
      <c r="E34" s="33"/>
      <c r="F34" s="33"/>
      <c r="T34" s="36"/>
      <c r="U34" s="33"/>
    </row>
    <row r="35" spans="1:21" s="47" customFormat="1" ht="30" customHeight="1" thickBot="1">
      <c r="A35" s="50" t="str">
        <f>VLOOKUP(294,dict!$A:$C,Contents!$D$21,0)</f>
        <v>Чистые денежные средства, (использованные в)/полученные от операционной деятельности</v>
      </c>
      <c r="B35" s="53">
        <v>2175</v>
      </c>
      <c r="C35" s="116">
        <v>-5249</v>
      </c>
      <c r="E35" s="33"/>
      <c r="F35" s="33"/>
      <c r="T35" s="36"/>
      <c r="U35" s="33"/>
    </row>
    <row r="36" spans="1:21" s="47" customFormat="1" ht="15.75" thickTop="1">
      <c r="A36" s="51"/>
      <c r="B36" s="113"/>
      <c r="C36" s="113"/>
      <c r="E36" s="33"/>
      <c r="F36" s="33"/>
      <c r="T36" s="36"/>
      <c r="U36" s="33"/>
    </row>
    <row r="37" spans="1:20" ht="15">
      <c r="A37" s="112" t="str">
        <f>VLOOKUP(295,dict!$A:$C,Contents!$D$21,0)</f>
        <v>Денежные средства от инвестиционной деятельности</v>
      </c>
      <c r="B37" s="135">
        <v>2014</v>
      </c>
      <c r="C37" s="136">
        <v>2013</v>
      </c>
      <c r="T37" s="36"/>
    </row>
    <row r="38" spans="1:21" s="47" customFormat="1" ht="27.75" customHeight="1">
      <c r="A38" s="11" t="str">
        <f>VLOOKUP(296,dict!$A:$C,Contents!$D$21,0)</f>
        <v>Приобретение инвестиционных ценных бумаг, имеющихся в наличии для продажи</v>
      </c>
      <c r="B38" s="41" t="s">
        <v>733</v>
      </c>
      <c r="C38" s="167" t="s">
        <v>734</v>
      </c>
      <c r="E38" s="33"/>
      <c r="F38" s="33"/>
      <c r="T38" s="36"/>
      <c r="U38" s="33"/>
    </row>
    <row r="39" spans="1:21" s="47" customFormat="1" ht="27.75" customHeight="1">
      <c r="A39" s="11" t="str">
        <f>VLOOKUP(297,dict!$A:$C,Contents!$D$21,0)</f>
        <v>Выручка от реализации инвестиционных ценных бумаг, имеющихся в наличии для продажи</v>
      </c>
      <c r="B39" s="41">
        <v>8875</v>
      </c>
      <c r="C39" s="167">
        <v>8925</v>
      </c>
      <c r="E39" s="33"/>
      <c r="F39" s="33"/>
      <c r="T39" s="36"/>
      <c r="U39" s="33"/>
    </row>
    <row r="40" spans="1:21" s="47" customFormat="1" ht="15">
      <c r="A40" s="11" t="str">
        <f>VLOOKUP(299,dict!$A:$C,Contents!$D$21,0)</f>
        <v>Приобретение основных средств </v>
      </c>
      <c r="B40" s="41">
        <v>-471</v>
      </c>
      <c r="C40" s="167">
        <v>-425</v>
      </c>
      <c r="E40" s="33"/>
      <c r="F40" s="33"/>
      <c r="T40" s="36"/>
      <c r="U40" s="33"/>
    </row>
    <row r="41" spans="1:21" s="47" customFormat="1" ht="15">
      <c r="A41" s="11" t="str">
        <f>VLOOKUP(300,dict!$A:$C,Contents!$D$21,0)</f>
        <v>Выручка от реализации основных средств </v>
      </c>
      <c r="B41" s="41">
        <v>76</v>
      </c>
      <c r="C41" s="167">
        <v>11</v>
      </c>
      <c r="E41" s="33"/>
      <c r="F41" s="33"/>
      <c r="T41" s="36"/>
      <c r="U41" s="33"/>
    </row>
    <row r="42" spans="1:21" s="47" customFormat="1" ht="30">
      <c r="A42" s="11" t="str">
        <f>VLOOKUP(302,dict!$A:$C,Contents!$D$21,0)</f>
        <v>Выручка от реализации долгосрочных активов, предназначенных для продажи</v>
      </c>
      <c r="B42" s="41">
        <v>261</v>
      </c>
      <c r="C42" s="167">
        <v>151</v>
      </c>
      <c r="E42" s="33"/>
      <c r="F42" s="33"/>
      <c r="T42" s="36"/>
      <c r="U42" s="33"/>
    </row>
    <row r="43" spans="1:21" s="47" customFormat="1" ht="15">
      <c r="A43" s="11" t="str">
        <f>VLOOKUP(301,dict!$A:$C,Contents!$D$21,0)</f>
        <v>Выручка от реализации инвестиционного имущества</v>
      </c>
      <c r="B43" s="41">
        <v>12</v>
      </c>
      <c r="C43" s="167">
        <v>8</v>
      </c>
      <c r="E43" s="33"/>
      <c r="F43" s="33"/>
      <c r="T43" s="36"/>
      <c r="U43" s="33"/>
    </row>
    <row r="44" spans="1:21" s="47" customFormat="1" ht="15">
      <c r="A44" s="11" t="str">
        <f>VLOOKUP(303,dict!$A:$C,Contents!$D$21,0)</f>
        <v>Дивиденды полученные</v>
      </c>
      <c r="B44" s="41">
        <v>3</v>
      </c>
      <c r="C44" s="167">
        <v>3</v>
      </c>
      <c r="E44" s="33"/>
      <c r="F44" s="33"/>
      <c r="T44" s="36"/>
      <c r="U44" s="33"/>
    </row>
    <row r="45" spans="1:21" s="48" customFormat="1" ht="30" customHeight="1" thickBot="1">
      <c r="A45" s="17" t="str">
        <f>VLOOKUP(303.1,dict!$A:$C,Contents!$D$21,0)</f>
        <v>Чистые денежные средства, использованные в инвестиционной деятельности</v>
      </c>
      <c r="B45" s="172" t="s">
        <v>735</v>
      </c>
      <c r="C45" s="173" t="s">
        <v>736</v>
      </c>
      <c r="E45" s="33"/>
      <c r="F45" s="33"/>
      <c r="T45" s="36"/>
      <c r="U45" s="33"/>
    </row>
    <row r="46" spans="1:21" s="48" customFormat="1" ht="15.75" thickTop="1">
      <c r="A46" s="15"/>
      <c r="B46" s="113"/>
      <c r="C46" s="113"/>
      <c r="E46" s="33"/>
      <c r="F46" s="33"/>
      <c r="T46" s="36"/>
      <c r="U46" s="33"/>
    </row>
    <row r="47" spans="1:20" ht="15">
      <c r="A47" s="112" t="str">
        <f>VLOOKUP(303.2,dict!$A:$C,Contents!$D$21,0)</f>
        <v>Денежные средства от финансовой деятельности</v>
      </c>
      <c r="B47" s="135">
        <v>2014</v>
      </c>
      <c r="C47" s="136">
        <v>2013</v>
      </c>
      <c r="T47" s="36"/>
    </row>
    <row r="48" spans="1:21" s="47" customFormat="1" ht="15">
      <c r="A48" s="11" t="str">
        <f>VLOOKUP(303.5,dict!$A:$C,Contents!$D$21,0)</f>
        <v>Привлечение субординированных депозитов</v>
      </c>
      <c r="B48" s="26">
        <v>243</v>
      </c>
      <c r="C48" s="114">
        <v>1000</v>
      </c>
      <c r="E48" s="33"/>
      <c r="F48" s="33"/>
      <c r="T48" s="36"/>
      <c r="U48" s="33"/>
    </row>
    <row r="49" spans="1:21" s="47" customFormat="1" ht="15">
      <c r="A49" s="11" t="str">
        <f>VLOOKUP(303.7,dict!$A:$C,Contents!$D$21,0)</f>
        <v>Погашение субординированных депозитов</v>
      </c>
      <c r="B49" s="26">
        <v>-958</v>
      </c>
      <c r="C49" s="114">
        <v>-3196</v>
      </c>
      <c r="E49" s="33"/>
      <c r="F49" s="33"/>
      <c r="T49" s="36"/>
      <c r="U49" s="33"/>
    </row>
    <row r="50" spans="1:21" s="47" customFormat="1" ht="30" customHeight="1">
      <c r="A50" s="11" t="str">
        <f>VLOOKUP(303.3,dict!$A:$C,Contents!$D$21,0)</f>
        <v>Погашение фондирования от международного финансового института</v>
      </c>
      <c r="B50" s="26">
        <v>-631</v>
      </c>
      <c r="C50" s="114">
        <v>-443</v>
      </c>
      <c r="E50" s="33"/>
      <c r="F50" s="33"/>
      <c r="T50" s="36"/>
      <c r="U50" s="33"/>
    </row>
    <row r="51" spans="1:21" s="47" customFormat="1" ht="15">
      <c r="A51" s="11" t="str">
        <f>VLOOKUP(303.4,dict!$A:$C,Contents!$D$21,0)</f>
        <v>Дивиденды уплаченные</v>
      </c>
      <c r="B51" s="26">
        <v>-14</v>
      </c>
      <c r="C51" s="114">
        <v>-14</v>
      </c>
      <c r="E51" s="33"/>
      <c r="F51" s="33"/>
      <c r="T51" s="36"/>
      <c r="U51" s="33"/>
    </row>
    <row r="52" spans="1:21" s="48" customFormat="1" ht="30" customHeight="1" thickBot="1">
      <c r="A52" s="17" t="str">
        <f>VLOOKUP(303.6,dict!$A:$C,Contents!$D$21,0)</f>
        <v>Чистые денежные средства, (использованные в)/полученные от финансовой деятельности</v>
      </c>
      <c r="B52" s="172" t="s">
        <v>737</v>
      </c>
      <c r="C52" s="116">
        <v>-2653</v>
      </c>
      <c r="E52" s="33"/>
      <c r="F52" s="33"/>
      <c r="T52" s="36"/>
      <c r="U52" s="33"/>
    </row>
    <row r="53" spans="1:21" s="48" customFormat="1" ht="15.75" thickTop="1">
      <c r="A53" s="15"/>
      <c r="B53" s="113"/>
      <c r="C53" s="113"/>
      <c r="E53" s="33"/>
      <c r="F53" s="33"/>
      <c r="T53" s="36"/>
      <c r="U53" s="33"/>
    </row>
    <row r="54" spans="1:20" ht="30" customHeight="1">
      <c r="A54" s="112" t="str">
        <f>VLOOKUP(330,dict!$A:$C,Contents!$D$21,0)</f>
        <v>Денежные средства и их эквиваленты на конец отчетного периода</v>
      </c>
      <c r="B54" s="135">
        <v>2014</v>
      </c>
      <c r="C54" s="136">
        <v>2013</v>
      </c>
      <c r="T54" s="36"/>
    </row>
    <row r="55" spans="1:21" s="48" customFormat="1" ht="30" customHeight="1">
      <c r="A55" s="11" t="str">
        <f>VLOOKUP(304,dict!$A:$C,Contents!$D$21,0)</f>
        <v>Влияние изменений обменного курса на денежные средства и их эквиваленты</v>
      </c>
      <c r="B55" s="26">
        <v>6543</v>
      </c>
      <c r="C55" s="114">
        <v>1441</v>
      </c>
      <c r="E55" s="33"/>
      <c r="F55" s="33"/>
      <c r="T55" s="36"/>
      <c r="U55" s="33"/>
    </row>
    <row r="56" spans="1:21" s="48" customFormat="1" ht="29.25" customHeight="1">
      <c r="A56" s="11" t="str">
        <f>VLOOKUP(305,dict!$A:$C,Contents!$D$21,0)</f>
        <v>Чистое (снижение)/прирост денежных средств и их эквивалентов</v>
      </c>
      <c r="B56" s="26">
        <v>6296</v>
      </c>
      <c r="C56" s="114">
        <v>-11553.85397423</v>
      </c>
      <c r="E56" s="33"/>
      <c r="F56" s="33"/>
      <c r="T56" s="36"/>
      <c r="U56" s="33"/>
    </row>
    <row r="57" spans="1:21" s="47" customFormat="1" ht="15">
      <c r="A57" s="11" t="str">
        <f>VLOOKUP(306,dict!$A:$C,Contents!$D$21,0)</f>
        <v>Денежные средства и их эквиваленты на начало года</v>
      </c>
      <c r="B57" s="26">
        <v>29331</v>
      </c>
      <c r="C57" s="114">
        <v>40885</v>
      </c>
      <c r="E57" s="33"/>
      <c r="F57" s="33"/>
      <c r="T57" s="36"/>
      <c r="U57" s="33"/>
    </row>
    <row r="58" spans="1:21" s="48" customFormat="1" ht="15.75" thickBot="1">
      <c r="A58" s="19" t="str">
        <f>VLOOKUP(330,dict!$A:$C,Contents!$D$21,0)</f>
        <v>Денежные средства и их эквиваленты на конец отчетного периода</v>
      </c>
      <c r="B58" s="49">
        <v>35627</v>
      </c>
      <c r="C58" s="115">
        <v>29331</v>
      </c>
      <c r="E58" s="33"/>
      <c r="F58" s="33"/>
      <c r="T58" s="36"/>
      <c r="U58" s="33"/>
    </row>
    <row r="59" spans="2:6" s="47" customFormat="1" ht="15.75" thickTop="1">
      <c r="B59" s="90"/>
      <c r="C59" s="90"/>
      <c r="E59" s="33"/>
      <c r="F59" s="33"/>
    </row>
    <row r="60" spans="2:6" s="47" customFormat="1" ht="15">
      <c r="B60" s="42"/>
      <c r="C60" s="43"/>
      <c r="E60" s="33"/>
      <c r="F60" s="33"/>
    </row>
    <row r="61" spans="2:6" s="47" customFormat="1" ht="15">
      <c r="B61" s="44"/>
      <c r="C61" s="43"/>
      <c r="E61" s="33"/>
      <c r="F61" s="33"/>
    </row>
    <row r="62" spans="2:6" s="47" customFormat="1" ht="15">
      <c r="B62" s="44"/>
      <c r="C62" s="43"/>
      <c r="E62" s="33"/>
      <c r="F62" s="33"/>
    </row>
    <row r="63" spans="2:6" s="47" customFormat="1" ht="15">
      <c r="B63" s="44"/>
      <c r="C63" s="43"/>
      <c r="E63" s="33"/>
      <c r="F63" s="33"/>
    </row>
    <row r="64" spans="2:6" s="47" customFormat="1" ht="15">
      <c r="B64" s="44"/>
      <c r="C64" s="43"/>
      <c r="E64" s="33"/>
      <c r="F64" s="33"/>
    </row>
    <row r="65" spans="2:6" s="47" customFormat="1" ht="15">
      <c r="B65" s="44"/>
      <c r="C65" s="43"/>
      <c r="E65" s="33"/>
      <c r="F65" s="33"/>
    </row>
    <row r="66" spans="2:6" s="47" customFormat="1" ht="15">
      <c r="B66" s="44"/>
      <c r="C66" s="43"/>
      <c r="E66" s="33"/>
      <c r="F66" s="33"/>
    </row>
    <row r="67" spans="2:6" s="47" customFormat="1" ht="15">
      <c r="B67" s="44"/>
      <c r="C67" s="43"/>
      <c r="E67" s="33"/>
      <c r="F67" s="33"/>
    </row>
    <row r="68" spans="2:6" s="47" customFormat="1" ht="15">
      <c r="B68" s="45"/>
      <c r="C68" s="46"/>
      <c r="E68" s="33"/>
      <c r="F68" s="33"/>
    </row>
    <row r="69" spans="2:6" s="47" customFormat="1" ht="15">
      <c r="B69" s="45"/>
      <c r="C69" s="46"/>
      <c r="E69" s="33"/>
      <c r="F69" s="33"/>
    </row>
    <row r="70" spans="1:6" s="47" customFormat="1" ht="15">
      <c r="A70" s="33"/>
      <c r="B70" s="45"/>
      <c r="C70" s="46"/>
      <c r="E70" s="33"/>
      <c r="F70" s="33"/>
    </row>
  </sheetData>
  <sheetProtection/>
  <mergeCells count="6">
    <mergeCell ref="E6:E7"/>
    <mergeCell ref="F6:F7"/>
    <mergeCell ref="A6:A7"/>
    <mergeCell ref="B6:B7"/>
    <mergeCell ref="C6:C7"/>
    <mergeCell ref="D6:D7"/>
  </mergeCells>
  <hyperlinks>
    <hyperlink ref="D6" location="'Statement of compreh income'!A1" display="'Statement of compreh income'!A1"/>
    <hyperlink ref="C6" location="'Statement of financial position'!A1" display="'Statement of financial position'!A1"/>
    <hyperlink ref="E6" location="'Statement of changes in equity'!A1" display="'Statement of changes in equity'!A1"/>
    <hyperlink ref="F6" location="'Statement of cash flows'!A1" display="'Statement of cash flows'!A1"/>
    <hyperlink ref="B6:B7" location="Contents!A1" display="Содержание"/>
    <hyperlink ref="C6:C7" location="'Statement of fin position'!A1" display="'Statement of fin position'!A1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1"/>
  <sheetViews>
    <sheetView workbookViewId="0" topLeftCell="A247">
      <selection activeCell="C267" sqref="C267"/>
    </sheetView>
  </sheetViews>
  <sheetFormatPr defaultColWidth="8.88671875" defaultRowHeight="15"/>
  <cols>
    <col min="1" max="1" width="5.6640625" style="60" customWidth="1"/>
    <col min="2" max="2" width="42.10546875" style="55" customWidth="1"/>
    <col min="3" max="3" width="71.21484375" style="57" customWidth="1"/>
    <col min="4" max="4" width="13.3359375" style="0" bestFit="1" customWidth="1"/>
  </cols>
  <sheetData>
    <row r="1" spans="1:4" ht="15.75">
      <c r="A1" s="59" t="s">
        <v>20</v>
      </c>
      <c r="B1" s="56" t="s">
        <v>22</v>
      </c>
      <c r="C1" s="58" t="s">
        <v>21</v>
      </c>
      <c r="D1" s="70" t="s">
        <v>431</v>
      </c>
    </row>
    <row r="2" spans="1:4" ht="15">
      <c r="A2" s="61">
        <v>1</v>
      </c>
      <c r="B2" s="55" t="s">
        <v>5</v>
      </c>
      <c r="C2" s="57" t="s">
        <v>6</v>
      </c>
      <c r="D2" s="71" t="str">
        <f>IF(C2&lt;&gt;"","да","нет")</f>
        <v>да</v>
      </c>
    </row>
    <row r="3" spans="1:4" ht="15">
      <c r="A3" s="61">
        <v>2</v>
      </c>
      <c r="B3" s="55" t="s">
        <v>24</v>
      </c>
      <c r="C3" s="57" t="s">
        <v>8</v>
      </c>
      <c r="D3" s="71" t="str">
        <f aca="true" t="shared" si="0" ref="D3:D67">IF(C3&lt;&gt;"","да","нет")</f>
        <v>да</v>
      </c>
    </row>
    <row r="4" spans="1:4" ht="15">
      <c r="A4" s="61">
        <v>3</v>
      </c>
      <c r="B4" s="55" t="s">
        <v>25</v>
      </c>
      <c r="C4" s="57" t="s">
        <v>31</v>
      </c>
      <c r="D4" s="71" t="str">
        <f t="shared" si="0"/>
        <v>да</v>
      </c>
    </row>
    <row r="5" spans="1:4" ht="15">
      <c r="A5" s="61">
        <v>4</v>
      </c>
      <c r="B5" s="55" t="s">
        <v>26</v>
      </c>
      <c r="C5" s="57" t="s">
        <v>32</v>
      </c>
      <c r="D5" s="71" t="str">
        <f t="shared" si="0"/>
        <v>да</v>
      </c>
    </row>
    <row r="6" spans="1:4" ht="15">
      <c r="A6" s="61">
        <v>5</v>
      </c>
      <c r="B6" s="55" t="s">
        <v>27</v>
      </c>
      <c r="C6" s="57" t="s">
        <v>14</v>
      </c>
      <c r="D6" s="71" t="str">
        <f t="shared" si="0"/>
        <v>да</v>
      </c>
    </row>
    <row r="7" spans="1:4" ht="15">
      <c r="A7" s="124">
        <v>6</v>
      </c>
      <c r="B7" s="79" t="s">
        <v>614</v>
      </c>
      <c r="C7" s="79" t="s">
        <v>583</v>
      </c>
      <c r="D7" s="80" t="str">
        <f t="shared" si="0"/>
        <v>да</v>
      </c>
    </row>
    <row r="8" spans="1:4" ht="15">
      <c r="A8" s="61">
        <v>7</v>
      </c>
      <c r="B8" s="55" t="s">
        <v>28</v>
      </c>
      <c r="C8" s="57" t="s">
        <v>33</v>
      </c>
      <c r="D8" s="71" t="str">
        <f t="shared" si="0"/>
        <v>да</v>
      </c>
    </row>
    <row r="9" spans="1:4" ht="15">
      <c r="A9" s="61">
        <v>8</v>
      </c>
      <c r="B9" s="55" t="s">
        <v>29</v>
      </c>
      <c r="C9" s="62" t="s">
        <v>512</v>
      </c>
      <c r="D9" s="71" t="str">
        <f t="shared" si="0"/>
        <v>да</v>
      </c>
    </row>
    <row r="10" spans="1:4" ht="15">
      <c r="A10" s="61">
        <v>9</v>
      </c>
      <c r="B10" s="55" t="s">
        <v>30</v>
      </c>
      <c r="C10" s="57" t="s">
        <v>19</v>
      </c>
      <c r="D10" s="71" t="str">
        <f t="shared" si="0"/>
        <v>да</v>
      </c>
    </row>
    <row r="11" spans="1:4" ht="15">
      <c r="A11" s="124">
        <v>10</v>
      </c>
      <c r="B11" s="79" t="s">
        <v>709</v>
      </c>
      <c r="C11" s="79" t="s">
        <v>710</v>
      </c>
      <c r="D11" s="80" t="str">
        <f t="shared" si="0"/>
        <v>да</v>
      </c>
    </row>
    <row r="12" spans="1:4" ht="15">
      <c r="A12" s="60">
        <v>11</v>
      </c>
      <c r="B12" s="55" t="s">
        <v>5</v>
      </c>
      <c r="C12" s="57" t="s">
        <v>6</v>
      </c>
      <c r="D12" s="71" t="str">
        <f t="shared" si="0"/>
        <v>да</v>
      </c>
    </row>
    <row r="13" spans="1:4" ht="15">
      <c r="A13" s="60">
        <v>12</v>
      </c>
      <c r="B13" s="55" t="s">
        <v>34</v>
      </c>
      <c r="C13" s="57" t="s">
        <v>54</v>
      </c>
      <c r="D13" s="71" t="str">
        <f t="shared" si="0"/>
        <v>да</v>
      </c>
    </row>
    <row r="14" spans="1:4" ht="15">
      <c r="A14" s="60">
        <v>13</v>
      </c>
      <c r="B14" s="55" t="s">
        <v>35</v>
      </c>
      <c r="C14" s="57" t="s">
        <v>55</v>
      </c>
      <c r="D14" s="71" t="str">
        <f t="shared" si="0"/>
        <v>да</v>
      </c>
    </row>
    <row r="15" spans="1:4" ht="15">
      <c r="A15" s="60">
        <v>14</v>
      </c>
      <c r="B15" s="55" t="s">
        <v>36</v>
      </c>
      <c r="C15" s="57" t="s">
        <v>56</v>
      </c>
      <c r="D15" s="71" t="str">
        <f t="shared" si="0"/>
        <v>да</v>
      </c>
    </row>
    <row r="16" spans="1:4" ht="15">
      <c r="A16" s="60">
        <v>15</v>
      </c>
      <c r="B16" s="55" t="s">
        <v>37</v>
      </c>
      <c r="C16" s="57" t="s">
        <v>57</v>
      </c>
      <c r="D16" s="71" t="str">
        <f t="shared" si="0"/>
        <v>да</v>
      </c>
    </row>
    <row r="17" spans="1:4" ht="15">
      <c r="A17" s="60">
        <v>16</v>
      </c>
      <c r="B17" s="55" t="s">
        <v>38</v>
      </c>
      <c r="C17" s="57" t="s">
        <v>58</v>
      </c>
      <c r="D17" s="71" t="str">
        <f t="shared" si="0"/>
        <v>да</v>
      </c>
    </row>
    <row r="18" spans="1:4" ht="15">
      <c r="A18" s="60">
        <v>17</v>
      </c>
      <c r="B18" s="55" t="s">
        <v>39</v>
      </c>
      <c r="C18" s="57" t="s">
        <v>59</v>
      </c>
      <c r="D18" s="71" t="str">
        <f t="shared" si="0"/>
        <v>да</v>
      </c>
    </row>
    <row r="19" spans="1:4" ht="15">
      <c r="A19" s="60">
        <v>18</v>
      </c>
      <c r="B19" s="55" t="s">
        <v>40</v>
      </c>
      <c r="C19" s="57" t="s">
        <v>60</v>
      </c>
      <c r="D19" s="71" t="str">
        <f t="shared" si="0"/>
        <v>да</v>
      </c>
    </row>
    <row r="20" spans="1:4" ht="15">
      <c r="A20" s="60">
        <v>19</v>
      </c>
      <c r="B20" s="55" t="s">
        <v>41</v>
      </c>
      <c r="C20" s="57" t="s">
        <v>10</v>
      </c>
      <c r="D20" s="71" t="str">
        <f t="shared" si="0"/>
        <v>да</v>
      </c>
    </row>
    <row r="21" spans="1:4" ht="15">
      <c r="A21" s="60">
        <v>20</v>
      </c>
      <c r="B21" s="55" t="s">
        <v>42</v>
      </c>
      <c r="C21" s="57" t="s">
        <v>61</v>
      </c>
      <c r="D21" s="71" t="str">
        <f t="shared" si="0"/>
        <v>да</v>
      </c>
    </row>
    <row r="22" spans="1:4" ht="15">
      <c r="A22" s="60">
        <v>21</v>
      </c>
      <c r="B22" s="55" t="s">
        <v>43</v>
      </c>
      <c r="C22" s="57" t="s">
        <v>62</v>
      </c>
      <c r="D22" s="71" t="str">
        <f t="shared" si="0"/>
        <v>да</v>
      </c>
    </row>
    <row r="23" spans="1:4" ht="15">
      <c r="A23" s="60">
        <v>22</v>
      </c>
      <c r="B23" s="55" t="s">
        <v>44</v>
      </c>
      <c r="C23" s="57" t="s">
        <v>63</v>
      </c>
      <c r="D23" s="71" t="str">
        <f t="shared" si="0"/>
        <v>да</v>
      </c>
    </row>
    <row r="24" spans="1:4" ht="15">
      <c r="A24" s="60">
        <v>23</v>
      </c>
      <c r="B24" s="55" t="s">
        <v>45</v>
      </c>
      <c r="C24" s="57" t="s">
        <v>64</v>
      </c>
      <c r="D24" s="71" t="str">
        <f t="shared" si="0"/>
        <v>да</v>
      </c>
    </row>
    <row r="25" spans="1:4" ht="15">
      <c r="A25" s="60">
        <v>24</v>
      </c>
      <c r="B25" s="55" t="s">
        <v>46</v>
      </c>
      <c r="C25" s="57" t="s">
        <v>65</v>
      </c>
      <c r="D25" s="71" t="str">
        <f t="shared" si="0"/>
        <v>да</v>
      </c>
    </row>
    <row r="26" spans="1:4" ht="15">
      <c r="A26" s="60">
        <v>25</v>
      </c>
      <c r="B26" s="55" t="s">
        <v>47</v>
      </c>
      <c r="C26" s="57" t="s">
        <v>66</v>
      </c>
      <c r="D26" s="71" t="str">
        <f t="shared" si="0"/>
        <v>да</v>
      </c>
    </row>
    <row r="27" spans="1:4" ht="15">
      <c r="A27" s="60">
        <v>26</v>
      </c>
      <c r="B27" s="55" t="s">
        <v>48</v>
      </c>
      <c r="C27" s="57" t="s">
        <v>67</v>
      </c>
      <c r="D27" s="71" t="str">
        <f t="shared" si="0"/>
        <v>да</v>
      </c>
    </row>
    <row r="28" spans="1:4" ht="15">
      <c r="A28" s="60">
        <v>27</v>
      </c>
      <c r="B28" s="55" t="s">
        <v>49</v>
      </c>
      <c r="C28" s="57" t="s">
        <v>68</v>
      </c>
      <c r="D28" s="71" t="str">
        <f t="shared" si="0"/>
        <v>да</v>
      </c>
    </row>
    <row r="29" spans="1:4" ht="15">
      <c r="A29" s="60">
        <v>28</v>
      </c>
      <c r="B29" s="55" t="s">
        <v>50</v>
      </c>
      <c r="C29" s="62" t="s">
        <v>73</v>
      </c>
      <c r="D29" s="71" t="str">
        <f t="shared" si="0"/>
        <v>да</v>
      </c>
    </row>
    <row r="30" spans="1:4" ht="15">
      <c r="A30" s="60">
        <v>29</v>
      </c>
      <c r="B30" s="55" t="s">
        <v>51</v>
      </c>
      <c r="C30" s="57" t="s">
        <v>69</v>
      </c>
      <c r="D30" s="71" t="str">
        <f t="shared" si="0"/>
        <v>да</v>
      </c>
    </row>
    <row r="31" spans="1:4" ht="15">
      <c r="A31" s="60">
        <v>30</v>
      </c>
      <c r="B31" s="55" t="s">
        <v>52</v>
      </c>
      <c r="C31" s="62" t="s">
        <v>70</v>
      </c>
      <c r="D31" s="71" t="str">
        <f t="shared" si="0"/>
        <v>да</v>
      </c>
    </row>
    <row r="32" spans="1:4" ht="15">
      <c r="A32" s="60">
        <v>31</v>
      </c>
      <c r="B32" s="55" t="s">
        <v>53</v>
      </c>
      <c r="C32" s="62" t="s">
        <v>72</v>
      </c>
      <c r="D32" s="71" t="str">
        <f t="shared" si="0"/>
        <v>да</v>
      </c>
    </row>
    <row r="33" spans="1:4" ht="15">
      <c r="A33" s="60">
        <v>32</v>
      </c>
      <c r="B33" s="63" t="s">
        <v>476</v>
      </c>
      <c r="C33" s="57" t="s">
        <v>71</v>
      </c>
      <c r="D33" s="71" t="str">
        <f t="shared" si="0"/>
        <v>да</v>
      </c>
    </row>
    <row r="34" spans="1:4" ht="15">
      <c r="A34" s="60">
        <v>33</v>
      </c>
      <c r="B34" s="63" t="s">
        <v>462</v>
      </c>
      <c r="C34" s="62" t="s">
        <v>461</v>
      </c>
      <c r="D34" s="71" t="str">
        <f t="shared" si="0"/>
        <v>да</v>
      </c>
    </row>
    <row r="35" spans="1:4" ht="15">
      <c r="A35" s="65">
        <v>34</v>
      </c>
      <c r="B35" s="55" t="s">
        <v>7</v>
      </c>
      <c r="C35" s="62" t="s">
        <v>8</v>
      </c>
      <c r="D35" s="71" t="str">
        <f t="shared" si="0"/>
        <v>да</v>
      </c>
    </row>
    <row r="36" spans="1:4" ht="15">
      <c r="A36" s="65">
        <v>35</v>
      </c>
      <c r="B36" s="55" t="s">
        <v>74</v>
      </c>
      <c r="C36" s="62" t="s">
        <v>526</v>
      </c>
      <c r="D36" s="71" t="str">
        <f t="shared" si="0"/>
        <v>да</v>
      </c>
    </row>
    <row r="37" spans="1:4" ht="15">
      <c r="A37" s="65">
        <v>36</v>
      </c>
      <c r="B37" s="55" t="s">
        <v>75</v>
      </c>
      <c r="C37" s="57" t="s">
        <v>491</v>
      </c>
      <c r="D37" s="71" t="str">
        <f t="shared" si="0"/>
        <v>да</v>
      </c>
    </row>
    <row r="38" spans="1:4" ht="15">
      <c r="A38" s="65">
        <v>37</v>
      </c>
      <c r="B38" s="55" t="s">
        <v>76</v>
      </c>
      <c r="C38" s="57" t="s">
        <v>275</v>
      </c>
      <c r="D38" s="71" t="str">
        <f t="shared" si="0"/>
        <v>да</v>
      </c>
    </row>
    <row r="39" spans="1:4" ht="15">
      <c r="A39" s="65">
        <v>38</v>
      </c>
      <c r="B39" s="55" t="s">
        <v>77</v>
      </c>
      <c r="C39" s="57" t="s">
        <v>276</v>
      </c>
      <c r="D39" s="71" t="str">
        <f t="shared" si="0"/>
        <v>да</v>
      </c>
    </row>
    <row r="40" spans="1:4" ht="15">
      <c r="A40" s="65">
        <v>39</v>
      </c>
      <c r="B40" s="55" t="s">
        <v>78</v>
      </c>
      <c r="C40" s="57" t="s">
        <v>277</v>
      </c>
      <c r="D40" s="71" t="str">
        <f t="shared" si="0"/>
        <v>да</v>
      </c>
    </row>
    <row r="41" spans="1:4" ht="15">
      <c r="A41" s="65">
        <v>40</v>
      </c>
      <c r="B41" s="55" t="s">
        <v>79</v>
      </c>
      <c r="C41" s="57" t="s">
        <v>278</v>
      </c>
      <c r="D41" s="71" t="str">
        <f t="shared" si="0"/>
        <v>да</v>
      </c>
    </row>
    <row r="42" spans="1:4" ht="15">
      <c r="A42" s="65">
        <v>41</v>
      </c>
      <c r="B42" s="55" t="s">
        <v>80</v>
      </c>
      <c r="C42" s="57" t="s">
        <v>279</v>
      </c>
      <c r="D42" s="71" t="str">
        <f t="shared" si="0"/>
        <v>да</v>
      </c>
    </row>
    <row r="43" spans="1:4" ht="15">
      <c r="A43" s="65">
        <v>42</v>
      </c>
      <c r="B43" s="55" t="s">
        <v>81</v>
      </c>
      <c r="C43" s="57" t="s">
        <v>280</v>
      </c>
      <c r="D43" s="71" t="str">
        <f t="shared" si="0"/>
        <v>да</v>
      </c>
    </row>
    <row r="44" spans="1:4" ht="15">
      <c r="A44" s="65">
        <v>43</v>
      </c>
      <c r="B44" s="55" t="s">
        <v>82</v>
      </c>
      <c r="C44" s="57" t="s">
        <v>281</v>
      </c>
      <c r="D44" s="71" t="str">
        <f t="shared" si="0"/>
        <v>да</v>
      </c>
    </row>
    <row r="45" spans="1:4" ht="15">
      <c r="A45" s="65">
        <v>44</v>
      </c>
      <c r="B45" s="55" t="s">
        <v>83</v>
      </c>
      <c r="C45" s="57" t="s">
        <v>282</v>
      </c>
      <c r="D45" s="71" t="str">
        <f t="shared" si="0"/>
        <v>да</v>
      </c>
    </row>
    <row r="46" spans="1:4" ht="15">
      <c r="A46" s="65">
        <v>45</v>
      </c>
      <c r="B46" s="63" t="s">
        <v>679</v>
      </c>
      <c r="C46" s="62" t="s">
        <v>678</v>
      </c>
      <c r="D46" s="71" t="str">
        <f t="shared" si="0"/>
        <v>да</v>
      </c>
    </row>
    <row r="47" spans="1:4" ht="15">
      <c r="A47" s="65">
        <v>46</v>
      </c>
      <c r="B47" s="55" t="s">
        <v>85</v>
      </c>
      <c r="C47" s="57" t="s">
        <v>284</v>
      </c>
      <c r="D47" s="71" t="str">
        <f t="shared" si="0"/>
        <v>да</v>
      </c>
    </row>
    <row r="48" spans="1:4" ht="15">
      <c r="A48" s="65">
        <v>47</v>
      </c>
      <c r="B48" s="55" t="s">
        <v>86</v>
      </c>
      <c r="C48" s="57" t="s">
        <v>285</v>
      </c>
      <c r="D48" s="71" t="str">
        <f t="shared" si="0"/>
        <v>да</v>
      </c>
    </row>
    <row r="49" spans="1:4" ht="15">
      <c r="A49" s="65">
        <v>48</v>
      </c>
      <c r="B49" s="55" t="s">
        <v>87</v>
      </c>
      <c r="C49" s="62" t="s">
        <v>508</v>
      </c>
      <c r="D49" s="71" t="str">
        <f t="shared" si="0"/>
        <v>да</v>
      </c>
    </row>
    <row r="50" spans="1:4" ht="15">
      <c r="A50" s="65">
        <v>49</v>
      </c>
      <c r="B50" s="55" t="s">
        <v>88</v>
      </c>
      <c r="C50" s="57" t="s">
        <v>287</v>
      </c>
      <c r="D50" s="71" t="str">
        <f t="shared" si="0"/>
        <v>да</v>
      </c>
    </row>
    <row r="51" spans="1:4" ht="15">
      <c r="A51" s="65">
        <v>50</v>
      </c>
      <c r="B51" s="55" t="s">
        <v>89</v>
      </c>
      <c r="C51" s="57" t="s">
        <v>288</v>
      </c>
      <c r="D51" s="71" t="str">
        <f t="shared" si="0"/>
        <v>да</v>
      </c>
    </row>
    <row r="52" spans="1:4" ht="15">
      <c r="A52" s="65">
        <v>51</v>
      </c>
      <c r="B52" s="55" t="s">
        <v>90</v>
      </c>
      <c r="C52" s="57" t="s">
        <v>12</v>
      </c>
      <c r="D52" s="71" t="str">
        <f t="shared" si="0"/>
        <v>да</v>
      </c>
    </row>
    <row r="53" spans="1:4" ht="15">
      <c r="A53" s="65">
        <v>52</v>
      </c>
      <c r="B53" s="55" t="s">
        <v>91</v>
      </c>
      <c r="C53" s="57" t="s">
        <v>289</v>
      </c>
      <c r="D53" s="71" t="str">
        <f t="shared" si="0"/>
        <v>да</v>
      </c>
    </row>
    <row r="54" spans="1:4" ht="15">
      <c r="A54" s="65">
        <v>52.1</v>
      </c>
      <c r="B54" s="55" t="s">
        <v>484</v>
      </c>
      <c r="C54" s="62" t="s">
        <v>483</v>
      </c>
      <c r="D54" s="71" t="str">
        <f t="shared" si="0"/>
        <v>да</v>
      </c>
    </row>
    <row r="55" spans="1:4" ht="15">
      <c r="A55" s="65">
        <v>53</v>
      </c>
      <c r="B55" s="55" t="s">
        <v>92</v>
      </c>
      <c r="C55" s="57" t="s">
        <v>290</v>
      </c>
      <c r="D55" s="71" t="str">
        <f t="shared" si="0"/>
        <v>да</v>
      </c>
    </row>
    <row r="56" spans="1:4" ht="15">
      <c r="A56" s="65">
        <v>54</v>
      </c>
      <c r="B56" s="55" t="s">
        <v>93</v>
      </c>
      <c r="C56" s="57" t="s">
        <v>291</v>
      </c>
      <c r="D56" s="71" t="str">
        <f t="shared" si="0"/>
        <v>да</v>
      </c>
    </row>
    <row r="57" spans="1:4" ht="15">
      <c r="A57" s="65">
        <v>55</v>
      </c>
      <c r="B57" s="55" t="s">
        <v>94</v>
      </c>
      <c r="C57" s="57" t="s">
        <v>292</v>
      </c>
      <c r="D57" s="71" t="str">
        <f t="shared" si="0"/>
        <v>да</v>
      </c>
    </row>
    <row r="58" spans="1:4" ht="15">
      <c r="A58" s="65">
        <v>56</v>
      </c>
      <c r="B58" s="55" t="s">
        <v>95</v>
      </c>
      <c r="C58" s="57" t="s">
        <v>293</v>
      </c>
      <c r="D58" s="71" t="str">
        <f t="shared" si="0"/>
        <v>да</v>
      </c>
    </row>
    <row r="59" spans="1:4" ht="15">
      <c r="A59" s="65">
        <v>57</v>
      </c>
      <c r="B59" s="55" t="s">
        <v>96</v>
      </c>
      <c r="C59" s="62" t="s">
        <v>509</v>
      </c>
      <c r="D59" s="71" t="str">
        <f t="shared" si="0"/>
        <v>да</v>
      </c>
    </row>
    <row r="60" spans="1:4" ht="15">
      <c r="A60" s="65">
        <v>58</v>
      </c>
      <c r="B60" s="55" t="s">
        <v>97</v>
      </c>
      <c r="C60" s="57" t="s">
        <v>295</v>
      </c>
      <c r="D60" s="71" t="str">
        <f t="shared" si="0"/>
        <v>да</v>
      </c>
    </row>
    <row r="61" spans="1:4" ht="15">
      <c r="A61" s="65">
        <v>59</v>
      </c>
      <c r="B61" s="55" t="s">
        <v>1</v>
      </c>
      <c r="C61" s="62" t="s">
        <v>505</v>
      </c>
      <c r="D61" s="71" t="str">
        <f t="shared" si="0"/>
        <v>да</v>
      </c>
    </row>
    <row r="62" spans="1:4" ht="15">
      <c r="A62" s="65">
        <v>60</v>
      </c>
      <c r="B62" s="55" t="s">
        <v>2</v>
      </c>
      <c r="C62" s="57" t="s">
        <v>296</v>
      </c>
      <c r="D62" s="71" t="str">
        <f t="shared" si="0"/>
        <v>да</v>
      </c>
    </row>
    <row r="63" spans="1:4" ht="15">
      <c r="A63" s="65">
        <v>61</v>
      </c>
      <c r="B63" s="55" t="s">
        <v>98</v>
      </c>
      <c r="C63" s="57" t="s">
        <v>297</v>
      </c>
      <c r="D63" s="71" t="str">
        <f t="shared" si="0"/>
        <v>да</v>
      </c>
    </row>
    <row r="64" spans="1:5" ht="15">
      <c r="A64" s="65">
        <v>62</v>
      </c>
      <c r="B64" s="55" t="s">
        <v>504</v>
      </c>
      <c r="C64" s="62" t="s">
        <v>579</v>
      </c>
      <c r="D64" s="71" t="str">
        <f t="shared" si="0"/>
        <v>да</v>
      </c>
      <c r="E64" s="93"/>
    </row>
    <row r="65" spans="1:4" ht="15">
      <c r="A65" s="65">
        <v>63</v>
      </c>
      <c r="B65" s="55" t="s">
        <v>99</v>
      </c>
      <c r="C65" s="62" t="s">
        <v>510</v>
      </c>
      <c r="D65" s="71" t="str">
        <f t="shared" si="0"/>
        <v>да</v>
      </c>
    </row>
    <row r="66" spans="1:4" ht="15">
      <c r="A66" s="65">
        <v>64</v>
      </c>
      <c r="B66" s="55" t="s">
        <v>100</v>
      </c>
      <c r="C66" s="62" t="s">
        <v>511</v>
      </c>
      <c r="D66" s="71" t="str">
        <f t="shared" si="0"/>
        <v>да</v>
      </c>
    </row>
    <row r="67" spans="1:4" ht="15">
      <c r="A67" s="65">
        <v>65</v>
      </c>
      <c r="B67" s="55" t="s">
        <v>101</v>
      </c>
      <c r="C67" s="57" t="s">
        <v>298</v>
      </c>
      <c r="D67" s="71" t="str">
        <f t="shared" si="0"/>
        <v>да</v>
      </c>
    </row>
    <row r="68" spans="1:4" ht="15">
      <c r="A68" s="65">
        <v>66</v>
      </c>
      <c r="B68" s="55" t="s">
        <v>102</v>
      </c>
      <c r="C68" s="57" t="s">
        <v>299</v>
      </c>
      <c r="D68" s="71" t="str">
        <f aca="true" t="shared" si="1" ref="D68:D133">IF(C68&lt;&gt;"","да","нет")</f>
        <v>да</v>
      </c>
    </row>
    <row r="69" spans="1:4" ht="15">
      <c r="A69" s="65">
        <v>67</v>
      </c>
      <c r="B69" s="55" t="s">
        <v>103</v>
      </c>
      <c r="C69" s="57" t="s">
        <v>300</v>
      </c>
      <c r="D69" s="71" t="str">
        <f t="shared" si="1"/>
        <v>да</v>
      </c>
    </row>
    <row r="70" spans="1:4" ht="15">
      <c r="A70" s="65">
        <v>68</v>
      </c>
      <c r="B70" s="55" t="s">
        <v>104</v>
      </c>
      <c r="C70" s="57" t="s">
        <v>301</v>
      </c>
      <c r="D70" s="71" t="str">
        <f t="shared" si="1"/>
        <v>да</v>
      </c>
    </row>
    <row r="71" spans="1:4" ht="15">
      <c r="A71" s="65">
        <v>69</v>
      </c>
      <c r="B71" s="55" t="s">
        <v>105</v>
      </c>
      <c r="C71" s="57" t="s">
        <v>302</v>
      </c>
      <c r="D71" s="71" t="str">
        <f t="shared" si="1"/>
        <v>да</v>
      </c>
    </row>
    <row r="72" spans="1:4" ht="15">
      <c r="A72" s="65">
        <v>70</v>
      </c>
      <c r="B72" s="63" t="s">
        <v>465</v>
      </c>
      <c r="C72" s="57" t="s">
        <v>466</v>
      </c>
      <c r="D72" s="71" t="str">
        <f t="shared" si="1"/>
        <v>да</v>
      </c>
    </row>
    <row r="73" spans="1:4" ht="15">
      <c r="A73" s="65">
        <v>71</v>
      </c>
      <c r="B73" s="63" t="s">
        <v>584</v>
      </c>
      <c r="C73" s="62" t="s">
        <v>589</v>
      </c>
      <c r="D73" s="71" t="str">
        <f t="shared" si="1"/>
        <v>да</v>
      </c>
    </row>
    <row r="74" spans="1:4" ht="15">
      <c r="A74" s="65">
        <v>72</v>
      </c>
      <c r="B74" s="63" t="s">
        <v>585</v>
      </c>
      <c r="C74" s="62" t="s">
        <v>590</v>
      </c>
      <c r="D74" s="71" t="str">
        <f t="shared" si="1"/>
        <v>да</v>
      </c>
    </row>
    <row r="75" spans="1:4" ht="15">
      <c r="A75" s="65">
        <v>73</v>
      </c>
      <c r="B75" s="63" t="s">
        <v>586</v>
      </c>
      <c r="C75" s="62" t="s">
        <v>591</v>
      </c>
      <c r="D75" s="71" t="str">
        <f t="shared" si="1"/>
        <v>да</v>
      </c>
    </row>
    <row r="76" spans="1:4" ht="15">
      <c r="A76" s="65">
        <v>74</v>
      </c>
      <c r="B76" s="63" t="s">
        <v>587</v>
      </c>
      <c r="C76" s="62" t="s">
        <v>592</v>
      </c>
      <c r="D76" s="71" t="str">
        <f t="shared" si="1"/>
        <v>да</v>
      </c>
    </row>
    <row r="77" spans="1:4" ht="15">
      <c r="A77" s="65">
        <v>75</v>
      </c>
      <c r="B77" s="63" t="s">
        <v>588</v>
      </c>
      <c r="C77" s="62" t="s">
        <v>593</v>
      </c>
      <c r="D77" s="71" t="str">
        <f t="shared" si="1"/>
        <v>да</v>
      </c>
    </row>
    <row r="78" spans="1:4" ht="15">
      <c r="A78" s="65">
        <v>75.5</v>
      </c>
      <c r="B78" s="63" t="s">
        <v>594</v>
      </c>
      <c r="C78" s="62" t="s">
        <v>595</v>
      </c>
      <c r="D78" s="71" t="str">
        <f t="shared" si="1"/>
        <v>да</v>
      </c>
    </row>
    <row r="79" spans="1:4" ht="15">
      <c r="A79" s="65">
        <v>76</v>
      </c>
      <c r="B79" s="55" t="s">
        <v>106</v>
      </c>
      <c r="C79" s="57" t="s">
        <v>303</v>
      </c>
      <c r="D79" s="71" t="str">
        <f t="shared" si="1"/>
        <v>да</v>
      </c>
    </row>
    <row r="80" spans="1:4" ht="15">
      <c r="A80" s="66">
        <v>77</v>
      </c>
      <c r="B80" s="55" t="s">
        <v>9</v>
      </c>
      <c r="C80" s="57" t="s">
        <v>10</v>
      </c>
      <c r="D80" s="71" t="str">
        <f t="shared" si="1"/>
        <v>да</v>
      </c>
    </row>
    <row r="81" spans="1:4" ht="15">
      <c r="A81" s="66">
        <v>78</v>
      </c>
      <c r="B81" s="55" t="s">
        <v>107</v>
      </c>
      <c r="C81" s="57" t="s">
        <v>108</v>
      </c>
      <c r="D81" s="71" t="str">
        <f t="shared" si="1"/>
        <v>да</v>
      </c>
    </row>
    <row r="82" spans="1:4" ht="15">
      <c r="A82" s="66">
        <v>79</v>
      </c>
      <c r="B82" s="55" t="s">
        <v>109</v>
      </c>
      <c r="C82" s="57" t="s">
        <v>304</v>
      </c>
      <c r="D82" s="71" t="str">
        <f t="shared" si="1"/>
        <v>да</v>
      </c>
    </row>
    <row r="83" spans="1:4" ht="15">
      <c r="A83" s="66">
        <v>80</v>
      </c>
      <c r="B83" s="55" t="s">
        <v>110</v>
      </c>
      <c r="C83" s="57" t="s">
        <v>305</v>
      </c>
      <c r="D83" s="71" t="str">
        <f t="shared" si="1"/>
        <v>да</v>
      </c>
    </row>
    <row r="84" spans="1:4" ht="15">
      <c r="A84" s="66">
        <v>81</v>
      </c>
      <c r="B84" s="55" t="s">
        <v>111</v>
      </c>
      <c r="C84" s="57" t="s">
        <v>306</v>
      </c>
      <c r="D84" s="71" t="str">
        <f t="shared" si="1"/>
        <v>да</v>
      </c>
    </row>
    <row r="85" spans="1:4" ht="15">
      <c r="A85" s="66">
        <v>82</v>
      </c>
      <c r="B85" s="55" t="s">
        <v>112</v>
      </c>
      <c r="C85" s="57" t="s">
        <v>307</v>
      </c>
      <c r="D85" s="71" t="str">
        <f t="shared" si="1"/>
        <v>да</v>
      </c>
    </row>
    <row r="86" spans="1:4" ht="15">
      <c r="A86" s="66">
        <v>83</v>
      </c>
      <c r="B86" s="55" t="s">
        <v>113</v>
      </c>
      <c r="C86" s="57" t="s">
        <v>308</v>
      </c>
      <c r="D86" s="71" t="str">
        <f t="shared" si="1"/>
        <v>да</v>
      </c>
    </row>
    <row r="87" spans="1:4" ht="15">
      <c r="A87" s="66">
        <v>84</v>
      </c>
      <c r="B87" s="55" t="s">
        <v>114</v>
      </c>
      <c r="C87" s="57" t="s">
        <v>309</v>
      </c>
      <c r="D87" s="71" t="str">
        <f t="shared" si="1"/>
        <v>да</v>
      </c>
    </row>
    <row r="88" spans="1:4" ht="15">
      <c r="A88" s="66">
        <v>85</v>
      </c>
      <c r="B88" s="55" t="s">
        <v>115</v>
      </c>
      <c r="C88" s="57" t="s">
        <v>310</v>
      </c>
      <c r="D88" s="71" t="str">
        <f t="shared" si="1"/>
        <v>да</v>
      </c>
    </row>
    <row r="89" spans="1:4" ht="15">
      <c r="A89" s="66">
        <v>86</v>
      </c>
      <c r="B89" s="55" t="s">
        <v>116</v>
      </c>
      <c r="C89" s="57" t="s">
        <v>311</v>
      </c>
      <c r="D89" s="71" t="str">
        <f t="shared" si="1"/>
        <v>да</v>
      </c>
    </row>
    <row r="90" spans="1:4" ht="15">
      <c r="A90" s="66">
        <v>86.1</v>
      </c>
      <c r="B90" s="63" t="s">
        <v>490</v>
      </c>
      <c r="C90" s="62" t="s">
        <v>489</v>
      </c>
      <c r="D90" s="71" t="str">
        <f t="shared" si="1"/>
        <v>да</v>
      </c>
    </row>
    <row r="91" spans="1:4" ht="15">
      <c r="A91" s="66">
        <v>87</v>
      </c>
      <c r="B91" s="55" t="s">
        <v>117</v>
      </c>
      <c r="C91" s="57" t="s">
        <v>312</v>
      </c>
      <c r="D91" s="71" t="str">
        <f t="shared" si="1"/>
        <v>да</v>
      </c>
    </row>
    <row r="92" spans="1:4" ht="15">
      <c r="A92" s="66">
        <v>88</v>
      </c>
      <c r="B92" s="55" t="s">
        <v>118</v>
      </c>
      <c r="C92" s="57" t="s">
        <v>313</v>
      </c>
      <c r="D92" s="71" t="str">
        <f t="shared" si="1"/>
        <v>да</v>
      </c>
    </row>
    <row r="93" spans="1:4" ht="15">
      <c r="A93" s="66">
        <v>89</v>
      </c>
      <c r="B93" s="55" t="s">
        <v>119</v>
      </c>
      <c r="C93" s="57" t="s">
        <v>314</v>
      </c>
      <c r="D93" s="71" t="str">
        <f t="shared" si="1"/>
        <v>да</v>
      </c>
    </row>
    <row r="94" spans="1:4" ht="15">
      <c r="A94" s="66">
        <v>90</v>
      </c>
      <c r="B94" s="55" t="s">
        <v>120</v>
      </c>
      <c r="C94" s="57" t="s">
        <v>432</v>
      </c>
      <c r="D94" s="71" t="str">
        <f t="shared" si="1"/>
        <v>да</v>
      </c>
    </row>
    <row r="95" spans="1:4" ht="15">
      <c r="A95" s="66">
        <v>91</v>
      </c>
      <c r="B95" s="55" t="s">
        <v>121</v>
      </c>
      <c r="C95" s="57" t="s">
        <v>433</v>
      </c>
      <c r="D95" s="71" t="str">
        <f t="shared" si="1"/>
        <v>да</v>
      </c>
    </row>
    <row r="96" spans="1:4" ht="15">
      <c r="A96" s="66">
        <v>92</v>
      </c>
      <c r="B96" s="63" t="s">
        <v>122</v>
      </c>
      <c r="C96" s="62" t="s">
        <v>598</v>
      </c>
      <c r="D96" s="71" t="str">
        <f t="shared" si="1"/>
        <v>да</v>
      </c>
    </row>
    <row r="97" spans="1:4" ht="15">
      <c r="A97" s="66">
        <v>93</v>
      </c>
      <c r="B97" s="55" t="s">
        <v>123</v>
      </c>
      <c r="C97" s="57" t="s">
        <v>434</v>
      </c>
      <c r="D97" s="71" t="str">
        <f t="shared" si="1"/>
        <v>да</v>
      </c>
    </row>
    <row r="98" spans="1:4" ht="15">
      <c r="A98" s="66">
        <v>94</v>
      </c>
      <c r="B98" s="55" t="s">
        <v>124</v>
      </c>
      <c r="C98" s="57" t="s">
        <v>435</v>
      </c>
      <c r="D98" s="71" t="str">
        <f t="shared" si="1"/>
        <v>да</v>
      </c>
    </row>
    <row r="99" spans="1:4" ht="15">
      <c r="A99" s="66">
        <v>95</v>
      </c>
      <c r="B99" s="55" t="s">
        <v>125</v>
      </c>
      <c r="C99" s="77" t="s">
        <v>577</v>
      </c>
      <c r="D99" s="71" t="str">
        <f t="shared" si="1"/>
        <v>да</v>
      </c>
    </row>
    <row r="100" spans="1:4" ht="15">
      <c r="A100" s="66">
        <v>96</v>
      </c>
      <c r="B100" s="55" t="s">
        <v>126</v>
      </c>
      <c r="C100" s="77" t="s">
        <v>578</v>
      </c>
      <c r="D100" s="71" t="str">
        <f t="shared" si="1"/>
        <v>да</v>
      </c>
    </row>
    <row r="101" spans="1:4" ht="15">
      <c r="A101" s="66">
        <v>97</v>
      </c>
      <c r="B101" s="55" t="s">
        <v>127</v>
      </c>
      <c r="C101" s="57" t="s">
        <v>436</v>
      </c>
      <c r="D101" s="71" t="str">
        <f t="shared" si="1"/>
        <v>да</v>
      </c>
    </row>
    <row r="102" spans="1:4" ht="15">
      <c r="A102" s="66">
        <v>98</v>
      </c>
      <c r="B102" s="55" t="s">
        <v>128</v>
      </c>
      <c r="C102" s="62" t="s">
        <v>596</v>
      </c>
      <c r="D102" s="71" t="str">
        <f t="shared" si="1"/>
        <v>да</v>
      </c>
    </row>
    <row r="103" spans="1:4" ht="15">
      <c r="A103" s="66">
        <v>99</v>
      </c>
      <c r="B103" s="55" t="s">
        <v>129</v>
      </c>
      <c r="C103" s="62" t="s">
        <v>597</v>
      </c>
      <c r="D103" s="71" t="str">
        <f t="shared" si="1"/>
        <v>да</v>
      </c>
    </row>
    <row r="104" spans="1:4" ht="15">
      <c r="A104" s="66">
        <v>100</v>
      </c>
      <c r="B104" s="55" t="s">
        <v>130</v>
      </c>
      <c r="C104" s="57" t="s">
        <v>131</v>
      </c>
      <c r="D104" s="71" t="str">
        <f t="shared" si="1"/>
        <v>да</v>
      </c>
    </row>
    <row r="105" spans="1:4" ht="15">
      <c r="A105" s="66">
        <v>101</v>
      </c>
      <c r="B105" s="55" t="s">
        <v>132</v>
      </c>
      <c r="C105" s="57" t="s">
        <v>315</v>
      </c>
      <c r="D105" s="71" t="str">
        <f t="shared" si="1"/>
        <v>да</v>
      </c>
    </row>
    <row r="106" spans="1:4" ht="15">
      <c r="A106" s="66">
        <v>102</v>
      </c>
      <c r="B106" s="55" t="s">
        <v>133</v>
      </c>
      <c r="C106" s="57" t="s">
        <v>316</v>
      </c>
      <c r="D106" s="71" t="str">
        <f t="shared" si="1"/>
        <v>да</v>
      </c>
    </row>
    <row r="107" spans="1:4" ht="15">
      <c r="A107" s="66">
        <v>103</v>
      </c>
      <c r="B107" s="55" t="s">
        <v>134</v>
      </c>
      <c r="C107" s="57" t="s">
        <v>317</v>
      </c>
      <c r="D107" s="71" t="str">
        <f t="shared" si="1"/>
        <v>да</v>
      </c>
    </row>
    <row r="108" spans="1:4" ht="15">
      <c r="A108" s="66">
        <v>104</v>
      </c>
      <c r="B108" s="55" t="s">
        <v>135</v>
      </c>
      <c r="C108" s="57" t="s">
        <v>318</v>
      </c>
      <c r="D108" s="71" t="str">
        <f t="shared" si="1"/>
        <v>да</v>
      </c>
    </row>
    <row r="109" spans="1:4" ht="15">
      <c r="A109" s="66">
        <v>105</v>
      </c>
      <c r="B109" s="55" t="s">
        <v>136</v>
      </c>
      <c r="C109" s="62" t="s">
        <v>468</v>
      </c>
      <c r="D109" s="71" t="str">
        <f t="shared" si="1"/>
        <v>да</v>
      </c>
    </row>
    <row r="110" spans="1:4" ht="15">
      <c r="A110" s="66">
        <v>106</v>
      </c>
      <c r="B110" s="55" t="s">
        <v>137</v>
      </c>
      <c r="C110" s="57" t="s">
        <v>319</v>
      </c>
      <c r="D110" s="71" t="str">
        <f t="shared" si="1"/>
        <v>да</v>
      </c>
    </row>
    <row r="111" spans="1:4" ht="15">
      <c r="A111" s="66">
        <v>107</v>
      </c>
      <c r="B111" s="55" t="s">
        <v>138</v>
      </c>
      <c r="C111" s="57" t="s">
        <v>108</v>
      </c>
      <c r="D111" s="71" t="str">
        <f t="shared" si="1"/>
        <v>да</v>
      </c>
    </row>
    <row r="112" spans="1:4" ht="15">
      <c r="A112" s="66">
        <v>108</v>
      </c>
      <c r="B112" s="55" t="s">
        <v>139</v>
      </c>
      <c r="C112" s="62" t="s">
        <v>599</v>
      </c>
      <c r="D112" s="71" t="str">
        <f t="shared" si="1"/>
        <v>да</v>
      </c>
    </row>
    <row r="113" spans="1:4" ht="15">
      <c r="A113" s="66">
        <v>109</v>
      </c>
      <c r="B113" s="55" t="s">
        <v>140</v>
      </c>
      <c r="C113" s="62" t="s">
        <v>600</v>
      </c>
      <c r="D113" s="71" t="str">
        <f t="shared" si="1"/>
        <v>да</v>
      </c>
    </row>
    <row r="114" spans="1:4" ht="15">
      <c r="A114" s="66">
        <v>110</v>
      </c>
      <c r="B114" s="55" t="s">
        <v>141</v>
      </c>
      <c r="C114" s="62" t="s">
        <v>601</v>
      </c>
      <c r="D114" s="71" t="str">
        <f t="shared" si="1"/>
        <v>да</v>
      </c>
    </row>
    <row r="115" spans="1:4" ht="15">
      <c r="A115" s="66">
        <v>111</v>
      </c>
      <c r="B115" s="55" t="s">
        <v>142</v>
      </c>
      <c r="C115" s="62" t="s">
        <v>602</v>
      </c>
      <c r="D115" s="71" t="str">
        <f t="shared" si="1"/>
        <v>да</v>
      </c>
    </row>
    <row r="116" spans="1:4" ht="15">
      <c r="A116" s="66">
        <v>112</v>
      </c>
      <c r="B116" s="55" t="s">
        <v>130</v>
      </c>
      <c r="C116" s="57" t="s">
        <v>320</v>
      </c>
      <c r="D116" s="71" t="str">
        <f t="shared" si="1"/>
        <v>да</v>
      </c>
    </row>
    <row r="117" spans="1:4" ht="15">
      <c r="A117" s="66">
        <v>113</v>
      </c>
      <c r="B117" s="55" t="s">
        <v>143</v>
      </c>
      <c r="C117" s="57" t="s">
        <v>321</v>
      </c>
      <c r="D117" s="71" t="str">
        <f t="shared" si="1"/>
        <v>да</v>
      </c>
    </row>
    <row r="118" spans="1:4" ht="15">
      <c r="A118" s="66">
        <v>114</v>
      </c>
      <c r="B118" s="55" t="s">
        <v>144</v>
      </c>
      <c r="C118" s="57" t="s">
        <v>454</v>
      </c>
      <c r="D118" s="71" t="str">
        <f t="shared" si="1"/>
        <v>да</v>
      </c>
    </row>
    <row r="119" spans="1:4" ht="15">
      <c r="A119" s="66">
        <v>115</v>
      </c>
      <c r="B119" s="55" t="s">
        <v>145</v>
      </c>
      <c r="C119" s="57" t="s">
        <v>322</v>
      </c>
      <c r="D119" s="71" t="str">
        <f t="shared" si="1"/>
        <v>да</v>
      </c>
    </row>
    <row r="120" spans="1:4" ht="15">
      <c r="A120" s="66">
        <v>116</v>
      </c>
      <c r="B120" s="55" t="s">
        <v>146</v>
      </c>
      <c r="C120" s="57" t="s">
        <v>323</v>
      </c>
      <c r="D120" s="71" t="str">
        <f t="shared" si="1"/>
        <v>да</v>
      </c>
    </row>
    <row r="121" spans="1:4" ht="15">
      <c r="A121" s="66">
        <v>117</v>
      </c>
      <c r="B121" s="55" t="s">
        <v>147</v>
      </c>
      <c r="C121" s="57" t="s">
        <v>324</v>
      </c>
      <c r="D121" s="71" t="str">
        <f t="shared" si="1"/>
        <v>да</v>
      </c>
    </row>
    <row r="122" spans="1:4" ht="15">
      <c r="A122" s="66">
        <v>118</v>
      </c>
      <c r="B122" s="55" t="s">
        <v>148</v>
      </c>
      <c r="C122" s="57" t="s">
        <v>325</v>
      </c>
      <c r="D122" s="71" t="str">
        <f t="shared" si="1"/>
        <v>да</v>
      </c>
    </row>
    <row r="123" spans="1:4" ht="15">
      <c r="A123" s="66">
        <v>119</v>
      </c>
      <c r="B123" s="55" t="s">
        <v>149</v>
      </c>
      <c r="C123" s="57" t="s">
        <v>326</v>
      </c>
      <c r="D123" s="71" t="str">
        <f t="shared" si="1"/>
        <v>да</v>
      </c>
    </row>
    <row r="124" spans="1:4" ht="15">
      <c r="A124" s="66">
        <v>120</v>
      </c>
      <c r="B124" s="55" t="s">
        <v>150</v>
      </c>
      <c r="C124" s="57" t="s">
        <v>438</v>
      </c>
      <c r="D124" s="71" t="str">
        <f t="shared" si="1"/>
        <v>да</v>
      </c>
    </row>
    <row r="125" spans="1:4" ht="15">
      <c r="A125" s="66">
        <v>121</v>
      </c>
      <c r="B125" s="55" t="s">
        <v>151</v>
      </c>
      <c r="C125" s="57" t="s">
        <v>327</v>
      </c>
      <c r="D125" s="71" t="str">
        <f t="shared" si="1"/>
        <v>да</v>
      </c>
    </row>
    <row r="126" spans="1:4" ht="15">
      <c r="A126" s="66">
        <v>122</v>
      </c>
      <c r="B126" s="55" t="s">
        <v>152</v>
      </c>
      <c r="C126" s="57" t="s">
        <v>328</v>
      </c>
      <c r="D126" s="71" t="str">
        <f t="shared" si="1"/>
        <v>да</v>
      </c>
    </row>
    <row r="127" spans="1:4" ht="15">
      <c r="A127" s="66">
        <v>123</v>
      </c>
      <c r="B127" s="55" t="s">
        <v>153</v>
      </c>
      <c r="C127" s="57" t="s">
        <v>437</v>
      </c>
      <c r="D127" s="71" t="str">
        <f t="shared" si="1"/>
        <v>да</v>
      </c>
    </row>
    <row r="128" spans="1:4" ht="15">
      <c r="A128" s="66">
        <v>124</v>
      </c>
      <c r="B128" s="55" t="s">
        <v>154</v>
      </c>
      <c r="C128" s="57" t="s">
        <v>329</v>
      </c>
      <c r="D128" s="71" t="str">
        <f t="shared" si="1"/>
        <v>да</v>
      </c>
    </row>
    <row r="129" spans="1:4" ht="15">
      <c r="A129" s="66">
        <v>125</v>
      </c>
      <c r="B129" s="55" t="s">
        <v>155</v>
      </c>
      <c r="C129" s="57" t="s">
        <v>330</v>
      </c>
      <c r="D129" s="71" t="str">
        <f t="shared" si="1"/>
        <v>да</v>
      </c>
    </row>
    <row r="130" spans="1:4" ht="15">
      <c r="A130" s="66">
        <v>126</v>
      </c>
      <c r="B130" s="63" t="s">
        <v>603</v>
      </c>
      <c r="C130" s="62" t="s">
        <v>604</v>
      </c>
      <c r="D130" s="71" t="str">
        <f t="shared" si="1"/>
        <v>да</v>
      </c>
    </row>
    <row r="131" spans="1:4" ht="15">
      <c r="A131" s="66">
        <v>127</v>
      </c>
      <c r="B131" s="63" t="s">
        <v>156</v>
      </c>
      <c r="C131" s="62" t="s">
        <v>605</v>
      </c>
      <c r="D131" s="71" t="str">
        <f t="shared" si="1"/>
        <v>да</v>
      </c>
    </row>
    <row r="132" spans="1:4" ht="15">
      <c r="A132" s="66">
        <v>128</v>
      </c>
      <c r="B132" s="55" t="s">
        <v>157</v>
      </c>
      <c r="C132" s="62" t="s">
        <v>606</v>
      </c>
      <c r="D132" s="71" t="str">
        <f t="shared" si="1"/>
        <v>да</v>
      </c>
    </row>
    <row r="133" spans="1:4" ht="15">
      <c r="A133" s="66">
        <v>129</v>
      </c>
      <c r="B133" s="55" t="s">
        <v>158</v>
      </c>
      <c r="C133" s="57" t="s">
        <v>159</v>
      </c>
      <c r="D133" s="71" t="str">
        <f t="shared" si="1"/>
        <v>да</v>
      </c>
    </row>
    <row r="134" spans="1:4" ht="15">
      <c r="A134" s="66">
        <v>130</v>
      </c>
      <c r="B134" s="55" t="s">
        <v>160</v>
      </c>
      <c r="C134" s="57" t="s">
        <v>325</v>
      </c>
      <c r="D134" s="71" t="str">
        <f aca="true" t="shared" si="2" ref="D134:D198">IF(C134&lt;&gt;"","да","нет")</f>
        <v>да</v>
      </c>
    </row>
    <row r="135" spans="1:4" ht="15">
      <c r="A135" s="66">
        <v>131</v>
      </c>
      <c r="B135" s="55" t="s">
        <v>161</v>
      </c>
      <c r="C135" s="57" t="s">
        <v>324</v>
      </c>
      <c r="D135" s="71" t="str">
        <f t="shared" si="2"/>
        <v>да</v>
      </c>
    </row>
    <row r="136" spans="1:4" ht="15">
      <c r="A136" s="66">
        <v>132</v>
      </c>
      <c r="B136" s="55" t="s">
        <v>162</v>
      </c>
      <c r="C136" s="57" t="s">
        <v>331</v>
      </c>
      <c r="D136" s="71" t="str">
        <f t="shared" si="2"/>
        <v>да</v>
      </c>
    </row>
    <row r="137" spans="1:4" ht="15">
      <c r="A137" s="66">
        <v>133</v>
      </c>
      <c r="B137" s="55" t="s">
        <v>163</v>
      </c>
      <c r="C137" s="57" t="s">
        <v>332</v>
      </c>
      <c r="D137" s="71" t="str">
        <f t="shared" si="2"/>
        <v>да</v>
      </c>
    </row>
    <row r="138" spans="1:4" ht="15">
      <c r="A138" s="66">
        <v>134</v>
      </c>
      <c r="B138" s="55" t="s">
        <v>164</v>
      </c>
      <c r="C138" s="57" t="s">
        <v>439</v>
      </c>
      <c r="D138" s="71" t="str">
        <f t="shared" si="2"/>
        <v>да</v>
      </c>
    </row>
    <row r="139" spans="1:4" ht="15">
      <c r="A139" s="66">
        <v>135</v>
      </c>
      <c r="B139" s="55" t="s">
        <v>39</v>
      </c>
      <c r="C139" s="62" t="s">
        <v>59</v>
      </c>
      <c r="D139" s="71" t="str">
        <f t="shared" si="2"/>
        <v>да</v>
      </c>
    </row>
    <row r="140" spans="1:4" ht="15">
      <c r="A140" s="66">
        <v>136</v>
      </c>
      <c r="B140" s="55" t="s">
        <v>165</v>
      </c>
      <c r="C140" s="57" t="s">
        <v>440</v>
      </c>
      <c r="D140" s="71" t="str">
        <f t="shared" si="2"/>
        <v>да</v>
      </c>
    </row>
    <row r="141" spans="1:4" ht="15">
      <c r="A141" s="66">
        <v>137</v>
      </c>
      <c r="B141" s="63" t="s">
        <v>492</v>
      </c>
      <c r="C141" s="62" t="s">
        <v>493</v>
      </c>
      <c r="D141" s="71" t="str">
        <f t="shared" si="2"/>
        <v>да</v>
      </c>
    </row>
    <row r="142" spans="1:4" ht="15">
      <c r="A142" s="66">
        <v>138</v>
      </c>
      <c r="B142" s="63" t="s">
        <v>477</v>
      </c>
      <c r="C142" s="57" t="s">
        <v>443</v>
      </c>
      <c r="D142" s="71" t="str">
        <f t="shared" si="2"/>
        <v>да</v>
      </c>
    </row>
    <row r="143" spans="1:4" ht="15">
      <c r="A143" s="66">
        <v>139</v>
      </c>
      <c r="B143" s="55" t="s">
        <v>166</v>
      </c>
      <c r="C143" s="57" t="s">
        <v>441</v>
      </c>
      <c r="D143" s="71" t="str">
        <f t="shared" si="2"/>
        <v>да</v>
      </c>
    </row>
    <row r="144" spans="1:4" ht="15">
      <c r="A144" s="78">
        <v>139.1</v>
      </c>
      <c r="B144" s="82" t="s">
        <v>475</v>
      </c>
      <c r="C144" s="82" t="s">
        <v>467</v>
      </c>
      <c r="D144" s="80" t="str">
        <f t="shared" si="2"/>
        <v>да</v>
      </c>
    </row>
    <row r="145" spans="1:4" ht="15.75">
      <c r="A145" s="66">
        <v>140</v>
      </c>
      <c r="B145" s="75" t="s">
        <v>503</v>
      </c>
      <c r="C145" s="57" t="s">
        <v>442</v>
      </c>
      <c r="D145" s="71" t="str">
        <f t="shared" si="2"/>
        <v>да</v>
      </c>
    </row>
    <row r="146" spans="1:4" ht="15">
      <c r="A146" s="66">
        <v>141</v>
      </c>
      <c r="B146" s="55" t="s">
        <v>143</v>
      </c>
      <c r="C146" s="57" t="s">
        <v>321</v>
      </c>
      <c r="D146" s="71" t="str">
        <f t="shared" si="2"/>
        <v>да</v>
      </c>
    </row>
    <row r="147" spans="1:4" ht="15">
      <c r="A147" s="66">
        <v>142</v>
      </c>
      <c r="B147" s="55" t="s">
        <v>167</v>
      </c>
      <c r="C147" s="57" t="s">
        <v>454</v>
      </c>
      <c r="D147" s="71" t="str">
        <f t="shared" si="2"/>
        <v>да</v>
      </c>
    </row>
    <row r="148" spans="1:4" ht="15">
      <c r="A148" s="66">
        <v>143</v>
      </c>
      <c r="B148" s="55" t="s">
        <v>145</v>
      </c>
      <c r="C148" s="57" t="s">
        <v>322</v>
      </c>
      <c r="D148" s="71" t="str">
        <f t="shared" si="2"/>
        <v>да</v>
      </c>
    </row>
    <row r="149" spans="1:4" ht="15">
      <c r="A149" s="66">
        <v>144</v>
      </c>
      <c r="B149" s="55" t="s">
        <v>146</v>
      </c>
      <c r="C149" s="57" t="s">
        <v>323</v>
      </c>
      <c r="D149" s="71" t="str">
        <f t="shared" si="2"/>
        <v>да</v>
      </c>
    </row>
    <row r="150" spans="1:4" ht="15">
      <c r="A150" s="67">
        <v>145</v>
      </c>
      <c r="B150" s="55" t="s">
        <v>11</v>
      </c>
      <c r="C150" s="57" t="s">
        <v>12</v>
      </c>
      <c r="D150" s="71" t="str">
        <f t="shared" si="2"/>
        <v>да</v>
      </c>
    </row>
    <row r="151" spans="1:4" ht="15">
      <c r="A151" s="67">
        <v>146</v>
      </c>
      <c r="B151" s="55" t="s">
        <v>478</v>
      </c>
      <c r="C151" s="57" t="s">
        <v>333</v>
      </c>
      <c r="D151" s="71" t="str">
        <f t="shared" si="2"/>
        <v>да</v>
      </c>
    </row>
    <row r="152" spans="1:4" ht="15">
      <c r="A152" s="67">
        <v>147</v>
      </c>
      <c r="B152" s="55" t="s">
        <v>168</v>
      </c>
      <c r="C152" s="57" t="s">
        <v>334</v>
      </c>
      <c r="D152" s="71" t="str">
        <f t="shared" si="2"/>
        <v>да</v>
      </c>
    </row>
    <row r="153" spans="1:4" ht="15">
      <c r="A153" s="67">
        <v>148</v>
      </c>
      <c r="B153" s="55" t="s">
        <v>169</v>
      </c>
      <c r="C153" s="57" t="s">
        <v>335</v>
      </c>
      <c r="D153" s="71" t="str">
        <f t="shared" si="2"/>
        <v>да</v>
      </c>
    </row>
    <row r="154" spans="1:4" ht="15">
      <c r="A154" s="67">
        <v>149</v>
      </c>
      <c r="B154" s="55" t="s">
        <v>170</v>
      </c>
      <c r="C154" s="57" t="s">
        <v>336</v>
      </c>
      <c r="D154" s="71" t="str">
        <f t="shared" si="2"/>
        <v>да</v>
      </c>
    </row>
    <row r="155" spans="1:4" ht="15">
      <c r="A155" s="67">
        <v>150</v>
      </c>
      <c r="B155" s="55" t="s">
        <v>171</v>
      </c>
      <c r="C155" s="57" t="s">
        <v>337</v>
      </c>
      <c r="D155" s="71" t="str">
        <f t="shared" si="2"/>
        <v>да</v>
      </c>
    </row>
    <row r="156" spans="1:4" ht="15">
      <c r="A156" s="67">
        <v>151</v>
      </c>
      <c r="B156" s="55" t="s">
        <v>172</v>
      </c>
      <c r="C156" s="62" t="s">
        <v>531</v>
      </c>
      <c r="D156" s="71" t="str">
        <f t="shared" si="2"/>
        <v>да</v>
      </c>
    </row>
    <row r="157" spans="1:4" ht="15">
      <c r="A157" s="67">
        <v>152</v>
      </c>
      <c r="B157" s="55" t="s">
        <v>173</v>
      </c>
      <c r="C157" s="62" t="s">
        <v>532</v>
      </c>
      <c r="D157" s="71" t="str">
        <f t="shared" si="2"/>
        <v>да</v>
      </c>
    </row>
    <row r="158" spans="1:4" ht="15">
      <c r="A158" s="67">
        <v>153</v>
      </c>
      <c r="B158" s="55" t="s">
        <v>174</v>
      </c>
      <c r="C158" s="62" t="s">
        <v>507</v>
      </c>
      <c r="D158" s="71" t="str">
        <f t="shared" si="2"/>
        <v>да</v>
      </c>
    </row>
    <row r="159" spans="1:4" ht="15">
      <c r="A159" s="67">
        <v>154</v>
      </c>
      <c r="B159" s="55" t="s">
        <v>175</v>
      </c>
      <c r="C159" s="62" t="s">
        <v>533</v>
      </c>
      <c r="D159" s="71" t="str">
        <f t="shared" si="2"/>
        <v>да</v>
      </c>
    </row>
    <row r="160" spans="1:4" ht="15">
      <c r="A160" s="67">
        <v>155</v>
      </c>
      <c r="B160" s="55" t="s">
        <v>176</v>
      </c>
      <c r="C160" s="62" t="s">
        <v>506</v>
      </c>
      <c r="D160" s="71" t="str">
        <f t="shared" si="2"/>
        <v>да</v>
      </c>
    </row>
    <row r="161" spans="1:4" ht="15">
      <c r="A161" s="67">
        <v>156</v>
      </c>
      <c r="B161" s="55" t="s">
        <v>177</v>
      </c>
      <c r="C161" s="57" t="s">
        <v>444</v>
      </c>
      <c r="D161" s="71" t="str">
        <f t="shared" si="2"/>
        <v>да</v>
      </c>
    </row>
    <row r="162" spans="1:4" ht="15">
      <c r="A162" s="67">
        <v>157</v>
      </c>
      <c r="B162" s="55" t="s">
        <v>178</v>
      </c>
      <c r="C162" s="57" t="s">
        <v>338</v>
      </c>
      <c r="D162" s="71" t="str">
        <f t="shared" si="2"/>
        <v>да</v>
      </c>
    </row>
    <row r="163" spans="1:4" ht="15">
      <c r="A163" s="67">
        <v>158</v>
      </c>
      <c r="B163" s="55" t="s">
        <v>179</v>
      </c>
      <c r="C163" s="57" t="s">
        <v>339</v>
      </c>
      <c r="D163" s="71" t="str">
        <f t="shared" si="2"/>
        <v>да</v>
      </c>
    </row>
    <row r="164" spans="1:4" ht="15">
      <c r="A164" s="67">
        <v>159</v>
      </c>
      <c r="B164" s="55" t="s">
        <v>180</v>
      </c>
      <c r="C164" s="57" t="s">
        <v>340</v>
      </c>
      <c r="D164" s="71" t="str">
        <f t="shared" si="2"/>
        <v>да</v>
      </c>
    </row>
    <row r="165" spans="1:4" ht="15">
      <c r="A165" s="67">
        <v>160</v>
      </c>
      <c r="B165" s="55" t="s">
        <v>181</v>
      </c>
      <c r="C165" s="57" t="s">
        <v>341</v>
      </c>
      <c r="D165" s="71" t="str">
        <f t="shared" si="2"/>
        <v>да</v>
      </c>
    </row>
    <row r="166" spans="1:4" ht="15">
      <c r="A166" s="68">
        <v>161</v>
      </c>
      <c r="B166" s="55" t="s">
        <v>13</v>
      </c>
      <c r="C166" s="62" t="s">
        <v>14</v>
      </c>
      <c r="D166" s="71" t="str">
        <f t="shared" si="2"/>
        <v>да</v>
      </c>
    </row>
    <row r="167" spans="1:4" ht="15">
      <c r="A167" s="68">
        <v>162</v>
      </c>
      <c r="B167" s="55" t="s">
        <v>182</v>
      </c>
      <c r="C167" s="57" t="s">
        <v>342</v>
      </c>
      <c r="D167" s="71" t="str">
        <f t="shared" si="2"/>
        <v>да</v>
      </c>
    </row>
    <row r="168" spans="1:4" ht="15">
      <c r="A168" s="68">
        <v>163</v>
      </c>
      <c r="B168" s="55" t="s">
        <v>183</v>
      </c>
      <c r="C168" s="57" t="s">
        <v>343</v>
      </c>
      <c r="D168" s="71" t="str">
        <f t="shared" si="2"/>
        <v>да</v>
      </c>
    </row>
    <row r="169" spans="1:4" ht="15">
      <c r="A169" s="68">
        <v>164</v>
      </c>
      <c r="B169" s="55" t="s">
        <v>184</v>
      </c>
      <c r="C169" s="57" t="s">
        <v>344</v>
      </c>
      <c r="D169" s="71" t="str">
        <f t="shared" si="2"/>
        <v>да</v>
      </c>
    </row>
    <row r="170" spans="1:4" ht="15">
      <c r="A170" s="68">
        <v>165</v>
      </c>
      <c r="B170" s="55" t="s">
        <v>185</v>
      </c>
      <c r="C170" s="57" t="s">
        <v>345</v>
      </c>
      <c r="D170" s="71" t="str">
        <f t="shared" si="2"/>
        <v>да</v>
      </c>
    </row>
    <row r="171" spans="1:4" ht="15">
      <c r="A171" s="68">
        <v>166</v>
      </c>
      <c r="B171" s="55" t="s">
        <v>186</v>
      </c>
      <c r="C171" s="57" t="s">
        <v>346</v>
      </c>
      <c r="D171" s="71" t="str">
        <f t="shared" si="2"/>
        <v>да</v>
      </c>
    </row>
    <row r="172" spans="1:4" ht="15">
      <c r="A172" s="68">
        <v>167</v>
      </c>
      <c r="B172" s="55" t="s">
        <v>187</v>
      </c>
      <c r="C172" s="62" t="s">
        <v>534</v>
      </c>
      <c r="D172" s="71" t="str">
        <f t="shared" si="2"/>
        <v>да</v>
      </c>
    </row>
    <row r="173" spans="1:4" ht="15">
      <c r="A173" s="68">
        <v>168</v>
      </c>
      <c r="B173" s="55" t="s">
        <v>188</v>
      </c>
      <c r="C173" s="57" t="s">
        <v>347</v>
      </c>
      <c r="D173" s="71" t="str">
        <f t="shared" si="2"/>
        <v>да</v>
      </c>
    </row>
    <row r="174" spans="1:4" ht="15">
      <c r="A174" s="68">
        <v>169</v>
      </c>
      <c r="B174" s="63" t="s">
        <v>670</v>
      </c>
      <c r="C174" s="62" t="s">
        <v>671</v>
      </c>
      <c r="D174" s="71" t="str">
        <f t="shared" si="2"/>
        <v>да</v>
      </c>
    </row>
    <row r="175" spans="1:4" ht="15">
      <c r="A175" s="68">
        <v>170</v>
      </c>
      <c r="B175" s="55" t="s">
        <v>445</v>
      </c>
      <c r="C175" s="57" t="s">
        <v>446</v>
      </c>
      <c r="D175" s="71" t="str">
        <f t="shared" si="2"/>
        <v>да</v>
      </c>
    </row>
    <row r="176" spans="1:4" ht="15">
      <c r="A176" s="68">
        <v>171</v>
      </c>
      <c r="B176" s="55" t="s">
        <v>189</v>
      </c>
      <c r="C176" s="57" t="s">
        <v>348</v>
      </c>
      <c r="D176" s="71" t="str">
        <f t="shared" si="2"/>
        <v>да</v>
      </c>
    </row>
    <row r="177" spans="1:4" ht="15">
      <c r="A177" s="68">
        <v>172</v>
      </c>
      <c r="B177" s="55" t="s">
        <v>190</v>
      </c>
      <c r="C177" s="57" t="s">
        <v>349</v>
      </c>
      <c r="D177" s="71" t="str">
        <f t="shared" si="2"/>
        <v>да</v>
      </c>
    </row>
    <row r="178" spans="1:4" ht="15">
      <c r="A178" s="124">
        <v>173</v>
      </c>
      <c r="B178" s="79" t="s">
        <v>582</v>
      </c>
      <c r="C178" s="79" t="s">
        <v>583</v>
      </c>
      <c r="D178" s="80" t="str">
        <f t="shared" si="2"/>
        <v>да</v>
      </c>
    </row>
    <row r="179" spans="1:4" ht="15">
      <c r="A179" s="69">
        <v>174</v>
      </c>
      <c r="B179" s="55" t="s">
        <v>191</v>
      </c>
      <c r="C179" s="62" t="s">
        <v>388</v>
      </c>
      <c r="D179" s="71" t="str">
        <f t="shared" si="2"/>
        <v>да</v>
      </c>
    </row>
    <row r="180" spans="1:4" ht="15">
      <c r="A180" s="69">
        <v>175</v>
      </c>
      <c r="B180" s="55" t="s">
        <v>192</v>
      </c>
      <c r="C180" s="57" t="s">
        <v>350</v>
      </c>
      <c r="D180" s="71" t="str">
        <f t="shared" si="2"/>
        <v>да</v>
      </c>
    </row>
    <row r="181" spans="1:4" ht="15">
      <c r="A181" s="69">
        <v>176</v>
      </c>
      <c r="B181" s="55" t="s">
        <v>36</v>
      </c>
      <c r="C181" s="57" t="s">
        <v>351</v>
      </c>
      <c r="D181" s="71" t="str">
        <f t="shared" si="2"/>
        <v>да</v>
      </c>
    </row>
    <row r="182" spans="1:4" ht="15">
      <c r="A182" s="69">
        <v>177</v>
      </c>
      <c r="B182" s="55" t="s">
        <v>193</v>
      </c>
      <c r="C182" s="57" t="s">
        <v>352</v>
      </c>
      <c r="D182" s="71" t="str">
        <f t="shared" si="2"/>
        <v>да</v>
      </c>
    </row>
    <row r="183" spans="1:4" ht="15">
      <c r="A183" s="69">
        <v>178</v>
      </c>
      <c r="B183" s="55" t="s">
        <v>194</v>
      </c>
      <c r="C183" s="57" t="s">
        <v>353</v>
      </c>
      <c r="D183" s="71" t="str">
        <f t="shared" si="2"/>
        <v>да</v>
      </c>
    </row>
    <row r="184" spans="1:4" ht="15">
      <c r="A184" s="69">
        <v>179</v>
      </c>
      <c r="B184" s="55" t="s">
        <v>195</v>
      </c>
      <c r="C184" s="57" t="s">
        <v>354</v>
      </c>
      <c r="D184" s="71" t="str">
        <f t="shared" si="2"/>
        <v>да</v>
      </c>
    </row>
    <row r="185" spans="1:4" ht="15">
      <c r="A185" s="69">
        <v>180</v>
      </c>
      <c r="B185" s="55" t="s">
        <v>196</v>
      </c>
      <c r="C185" s="57" t="s">
        <v>355</v>
      </c>
      <c r="D185" s="71" t="str">
        <f t="shared" si="2"/>
        <v>да</v>
      </c>
    </row>
    <row r="186" spans="1:4" ht="15">
      <c r="A186" s="69">
        <v>181</v>
      </c>
      <c r="B186" s="55" t="s">
        <v>197</v>
      </c>
      <c r="C186" s="57" t="s">
        <v>356</v>
      </c>
      <c r="D186" s="71" t="str">
        <f t="shared" si="2"/>
        <v>да</v>
      </c>
    </row>
    <row r="187" spans="1:4" ht="15">
      <c r="A187" s="69">
        <v>182</v>
      </c>
      <c r="B187" s="55" t="s">
        <v>198</v>
      </c>
      <c r="C187" s="57" t="s">
        <v>357</v>
      </c>
      <c r="D187" s="71" t="str">
        <f t="shared" si="2"/>
        <v>да</v>
      </c>
    </row>
    <row r="188" spans="1:4" ht="15">
      <c r="A188" s="69">
        <v>183</v>
      </c>
      <c r="B188" s="55" t="s">
        <v>199</v>
      </c>
      <c r="C188" s="57" t="s">
        <v>358</v>
      </c>
      <c r="D188" s="71" t="str">
        <f t="shared" si="2"/>
        <v>да</v>
      </c>
    </row>
    <row r="189" spans="1:4" ht="15">
      <c r="A189" s="69">
        <v>184</v>
      </c>
      <c r="B189" s="55" t="s">
        <v>200</v>
      </c>
      <c r="C189" s="57" t="s">
        <v>359</v>
      </c>
      <c r="D189" s="71" t="str">
        <f t="shared" si="2"/>
        <v>да</v>
      </c>
    </row>
    <row r="190" spans="1:4" ht="15">
      <c r="A190" s="69">
        <v>185</v>
      </c>
      <c r="B190" s="55" t="s">
        <v>201</v>
      </c>
      <c r="C190" s="57" t="s">
        <v>360</v>
      </c>
      <c r="D190" s="71" t="str">
        <f t="shared" si="2"/>
        <v>да</v>
      </c>
    </row>
    <row r="191" spans="1:4" ht="15">
      <c r="A191" s="69">
        <v>186</v>
      </c>
      <c r="B191" s="55" t="s">
        <v>202</v>
      </c>
      <c r="C191" s="57" t="s">
        <v>361</v>
      </c>
      <c r="D191" s="71" t="str">
        <f t="shared" si="2"/>
        <v>да</v>
      </c>
    </row>
    <row r="192" spans="1:4" ht="15.75">
      <c r="A192" s="69">
        <v>187</v>
      </c>
      <c r="B192" s="75" t="s">
        <v>479</v>
      </c>
      <c r="C192" s="57" t="s">
        <v>362</v>
      </c>
      <c r="D192" s="71" t="str">
        <f t="shared" si="2"/>
        <v>да</v>
      </c>
    </row>
    <row r="193" spans="1:4" ht="45">
      <c r="A193" s="69">
        <v>188</v>
      </c>
      <c r="B193" s="55" t="s">
        <v>449</v>
      </c>
      <c r="C193" s="77" t="s">
        <v>469</v>
      </c>
      <c r="D193" s="71" t="str">
        <f t="shared" si="2"/>
        <v>да</v>
      </c>
    </row>
    <row r="194" spans="1:4" ht="15">
      <c r="A194" s="69">
        <v>189</v>
      </c>
      <c r="B194" s="55" t="s">
        <v>203</v>
      </c>
      <c r="C194" s="57" t="s">
        <v>363</v>
      </c>
      <c r="D194" s="71" t="str">
        <f t="shared" si="2"/>
        <v>да</v>
      </c>
    </row>
    <row r="195" spans="1:4" ht="15">
      <c r="A195" s="69">
        <v>190</v>
      </c>
      <c r="B195" s="55" t="s">
        <v>204</v>
      </c>
      <c r="C195" s="57" t="s">
        <v>364</v>
      </c>
      <c r="D195" s="71" t="str">
        <f t="shared" si="2"/>
        <v>да</v>
      </c>
    </row>
    <row r="196" spans="1:4" ht="15">
      <c r="A196" s="69">
        <v>191</v>
      </c>
      <c r="B196" s="55" t="s">
        <v>205</v>
      </c>
      <c r="C196" s="57" t="s">
        <v>365</v>
      </c>
      <c r="D196" s="71" t="str">
        <f t="shared" si="2"/>
        <v>да</v>
      </c>
    </row>
    <row r="197" spans="1:4" ht="15">
      <c r="A197" s="69">
        <v>192</v>
      </c>
      <c r="B197" s="55" t="s">
        <v>447</v>
      </c>
      <c r="C197" s="57" t="s">
        <v>448</v>
      </c>
      <c r="D197" s="71" t="str">
        <f t="shared" si="2"/>
        <v>да</v>
      </c>
    </row>
    <row r="198" spans="1:4" ht="15">
      <c r="A198" s="69">
        <v>193</v>
      </c>
      <c r="B198" s="55" t="s">
        <v>206</v>
      </c>
      <c r="C198" s="57" t="s">
        <v>366</v>
      </c>
      <c r="D198" s="71" t="str">
        <f t="shared" si="2"/>
        <v>да</v>
      </c>
    </row>
    <row r="199" spans="1:4" ht="15">
      <c r="A199" s="69">
        <v>194</v>
      </c>
      <c r="B199" s="55" t="s">
        <v>207</v>
      </c>
      <c r="C199" s="57" t="s">
        <v>367</v>
      </c>
      <c r="D199" s="71" t="str">
        <f aca="true" t="shared" si="3" ref="D199:D264">IF(C199&lt;&gt;"","да","нет")</f>
        <v>да</v>
      </c>
    </row>
    <row r="200" spans="1:4" ht="15">
      <c r="A200" s="69">
        <v>195</v>
      </c>
      <c r="B200" s="55" t="s">
        <v>47</v>
      </c>
      <c r="C200" s="57" t="s">
        <v>66</v>
      </c>
      <c r="D200" s="71" t="str">
        <f t="shared" si="3"/>
        <v>да</v>
      </c>
    </row>
    <row r="201" spans="1:4" ht="15">
      <c r="A201" s="69">
        <v>196</v>
      </c>
      <c r="B201" s="55" t="s">
        <v>48</v>
      </c>
      <c r="C201" s="62" t="s">
        <v>67</v>
      </c>
      <c r="D201" s="71" t="str">
        <f t="shared" si="3"/>
        <v>да</v>
      </c>
    </row>
    <row r="202" spans="1:4" ht="15">
      <c r="A202" s="69">
        <v>197</v>
      </c>
      <c r="B202" s="63" t="s">
        <v>607</v>
      </c>
      <c r="C202" s="57" t="s">
        <v>608</v>
      </c>
      <c r="D202" s="71" t="str">
        <f t="shared" si="3"/>
        <v>да</v>
      </c>
    </row>
    <row r="203" spans="1:4" ht="15">
      <c r="A203" s="125">
        <v>197.5</v>
      </c>
      <c r="B203" s="63" t="s">
        <v>656</v>
      </c>
      <c r="C203" s="62" t="s">
        <v>657</v>
      </c>
      <c r="D203" s="71" t="str">
        <f t="shared" si="3"/>
        <v>да</v>
      </c>
    </row>
    <row r="204" spans="1:4" ht="15">
      <c r="A204" s="69">
        <v>198</v>
      </c>
      <c r="B204" s="55" t="s">
        <v>208</v>
      </c>
      <c r="C204" s="57" t="s">
        <v>368</v>
      </c>
      <c r="D204" s="71" t="str">
        <f t="shared" si="3"/>
        <v>да</v>
      </c>
    </row>
    <row r="205" spans="1:4" ht="15">
      <c r="A205" s="69">
        <v>199</v>
      </c>
      <c r="B205" s="55" t="s">
        <v>209</v>
      </c>
      <c r="C205" s="57" t="s">
        <v>369</v>
      </c>
      <c r="D205" s="71" t="str">
        <f t="shared" si="3"/>
        <v>да</v>
      </c>
    </row>
    <row r="206" spans="1:4" ht="15">
      <c r="A206" s="69">
        <v>200</v>
      </c>
      <c r="B206" s="55" t="s">
        <v>210</v>
      </c>
      <c r="C206" s="57" t="s">
        <v>370</v>
      </c>
      <c r="D206" s="71" t="str">
        <f t="shared" si="3"/>
        <v>да</v>
      </c>
    </row>
    <row r="207" spans="1:4" ht="15">
      <c r="A207" s="69">
        <v>201</v>
      </c>
      <c r="B207" s="63" t="s">
        <v>576</v>
      </c>
      <c r="C207" s="62" t="s">
        <v>575</v>
      </c>
      <c r="D207" s="71" t="str">
        <f t="shared" si="3"/>
        <v>да</v>
      </c>
    </row>
    <row r="208" spans="1:4" ht="15">
      <c r="A208" s="69">
        <v>202</v>
      </c>
      <c r="B208" s="63" t="s">
        <v>211</v>
      </c>
      <c r="C208" s="62" t="s">
        <v>535</v>
      </c>
      <c r="D208" s="71" t="str">
        <f t="shared" si="3"/>
        <v>да</v>
      </c>
    </row>
    <row r="209" spans="1:4" ht="15">
      <c r="A209" s="69">
        <v>203</v>
      </c>
      <c r="B209" s="55" t="s">
        <v>212</v>
      </c>
      <c r="C209" s="62" t="s">
        <v>536</v>
      </c>
      <c r="D209" s="71" t="str">
        <f t="shared" si="3"/>
        <v>да</v>
      </c>
    </row>
    <row r="210" spans="1:4" ht="15">
      <c r="A210" s="69">
        <v>204</v>
      </c>
      <c r="B210" s="55" t="s">
        <v>213</v>
      </c>
      <c r="C210" s="57" t="s">
        <v>371</v>
      </c>
      <c r="D210" s="71" t="str">
        <f t="shared" si="3"/>
        <v>да</v>
      </c>
    </row>
    <row r="211" spans="1:4" ht="15">
      <c r="A211" s="69">
        <v>205</v>
      </c>
      <c r="B211" s="55" t="s">
        <v>214</v>
      </c>
      <c r="C211" s="57" t="s">
        <v>372</v>
      </c>
      <c r="D211" s="71" t="str">
        <f t="shared" si="3"/>
        <v>да</v>
      </c>
    </row>
    <row r="212" spans="1:4" ht="15">
      <c r="A212" s="64">
        <v>206</v>
      </c>
      <c r="B212" s="55" t="s">
        <v>15</v>
      </c>
      <c r="C212" s="57" t="s">
        <v>16</v>
      </c>
      <c r="D212" s="71" t="str">
        <f t="shared" si="3"/>
        <v>да</v>
      </c>
    </row>
    <row r="213" spans="1:4" ht="15">
      <c r="A213" s="64">
        <v>207</v>
      </c>
      <c r="B213" s="55" t="s">
        <v>215</v>
      </c>
      <c r="C213" s="57" t="s">
        <v>373</v>
      </c>
      <c r="D213" s="71" t="str">
        <f t="shared" si="3"/>
        <v>да</v>
      </c>
    </row>
    <row r="214" spans="1:4" ht="15">
      <c r="A214" s="64">
        <v>208</v>
      </c>
      <c r="B214" s="55" t="s">
        <v>216</v>
      </c>
      <c r="C214" s="57" t="s">
        <v>374</v>
      </c>
      <c r="D214" s="71" t="str">
        <f t="shared" si="3"/>
        <v>да</v>
      </c>
    </row>
    <row r="215" spans="1:4" ht="15">
      <c r="A215" s="64">
        <v>209</v>
      </c>
      <c r="B215" s="55" t="s">
        <v>217</v>
      </c>
      <c r="C215" s="57" t="s">
        <v>375</v>
      </c>
      <c r="D215" s="71" t="str">
        <f t="shared" si="3"/>
        <v>да</v>
      </c>
    </row>
    <row r="216" spans="1:4" ht="15">
      <c r="A216" s="64">
        <v>210</v>
      </c>
      <c r="B216" s="55" t="s">
        <v>218</v>
      </c>
      <c r="C216" s="57" t="s">
        <v>376</v>
      </c>
      <c r="D216" s="71" t="str">
        <f t="shared" si="3"/>
        <v>да</v>
      </c>
    </row>
    <row r="217" spans="1:4" ht="15">
      <c r="A217" s="64">
        <v>211</v>
      </c>
      <c r="B217" s="55" t="s">
        <v>219</v>
      </c>
      <c r="C217" s="57" t="s">
        <v>377</v>
      </c>
      <c r="D217" s="71" t="str">
        <f t="shared" si="3"/>
        <v>да</v>
      </c>
    </row>
    <row r="218" spans="1:4" ht="15">
      <c r="A218" s="64">
        <v>212</v>
      </c>
      <c r="B218" s="55" t="s">
        <v>220</v>
      </c>
      <c r="C218" s="57" t="s">
        <v>378</v>
      </c>
      <c r="D218" s="71" t="str">
        <f t="shared" si="3"/>
        <v>да</v>
      </c>
    </row>
    <row r="219" spans="1:4" ht="15">
      <c r="A219" s="64">
        <v>213</v>
      </c>
      <c r="B219" s="55" t="s">
        <v>221</v>
      </c>
      <c r="C219" s="57" t="s">
        <v>379</v>
      </c>
      <c r="D219" s="71" t="str">
        <f t="shared" si="3"/>
        <v>да</v>
      </c>
    </row>
    <row r="220" spans="1:4" ht="15">
      <c r="A220" s="64">
        <v>214</v>
      </c>
      <c r="B220" s="55" t="s">
        <v>222</v>
      </c>
      <c r="C220" s="57" t="s">
        <v>380</v>
      </c>
      <c r="D220" s="71" t="str">
        <f t="shared" si="3"/>
        <v>да</v>
      </c>
    </row>
    <row r="221" spans="1:4" ht="15">
      <c r="A221" s="64">
        <v>215</v>
      </c>
      <c r="B221" s="55" t="s">
        <v>223</v>
      </c>
      <c r="C221" s="57" t="s">
        <v>381</v>
      </c>
      <c r="D221" s="71" t="str">
        <f t="shared" si="3"/>
        <v>да</v>
      </c>
    </row>
    <row r="222" spans="1:4" ht="15">
      <c r="A222" s="64">
        <v>216</v>
      </c>
      <c r="B222" s="55" t="s">
        <v>224</v>
      </c>
      <c r="C222" s="57" t="s">
        <v>382</v>
      </c>
      <c r="D222" s="71" t="str">
        <f t="shared" si="3"/>
        <v>да</v>
      </c>
    </row>
    <row r="223" spans="1:4" ht="15">
      <c r="A223" s="64">
        <v>217</v>
      </c>
      <c r="B223" s="55" t="s">
        <v>225</v>
      </c>
      <c r="C223" s="57" t="s">
        <v>355</v>
      </c>
      <c r="D223" s="71" t="str">
        <f t="shared" si="3"/>
        <v>да</v>
      </c>
    </row>
    <row r="224" spans="1:4" ht="15">
      <c r="A224" s="64">
        <v>218</v>
      </c>
      <c r="B224" s="55" t="s">
        <v>218</v>
      </c>
      <c r="C224" s="57" t="s">
        <v>383</v>
      </c>
      <c r="D224" s="71" t="str">
        <f t="shared" si="3"/>
        <v>да</v>
      </c>
    </row>
    <row r="225" spans="1:4" ht="15">
      <c r="A225" s="64">
        <v>219</v>
      </c>
      <c r="B225" s="55" t="s">
        <v>215</v>
      </c>
      <c r="C225" s="57" t="s">
        <v>384</v>
      </c>
      <c r="D225" s="71" t="str">
        <f t="shared" si="3"/>
        <v>да</v>
      </c>
    </row>
    <row r="226" spans="1:4" ht="15">
      <c r="A226" s="64">
        <v>220</v>
      </c>
      <c r="B226" s="55" t="s">
        <v>226</v>
      </c>
      <c r="C226" s="57" t="s">
        <v>385</v>
      </c>
      <c r="D226" s="71" t="str">
        <f t="shared" si="3"/>
        <v>да</v>
      </c>
    </row>
    <row r="227" spans="1:4" ht="15">
      <c r="A227" s="64">
        <v>221</v>
      </c>
      <c r="B227" s="55" t="s">
        <v>227</v>
      </c>
      <c r="C227" s="57" t="s">
        <v>386</v>
      </c>
      <c r="D227" s="71" t="str">
        <f t="shared" si="3"/>
        <v>да</v>
      </c>
    </row>
    <row r="228" spans="1:4" ht="15">
      <c r="A228" s="64">
        <v>222</v>
      </c>
      <c r="B228" s="55" t="s">
        <v>37</v>
      </c>
      <c r="C228" s="57" t="s">
        <v>387</v>
      </c>
      <c r="D228" s="71" t="str">
        <f t="shared" si="3"/>
        <v>да</v>
      </c>
    </row>
    <row r="229" spans="1:4" ht="15">
      <c r="A229" s="64">
        <v>223</v>
      </c>
      <c r="B229" s="55" t="s">
        <v>191</v>
      </c>
      <c r="C229" s="57" t="s">
        <v>388</v>
      </c>
      <c r="D229" s="71" t="str">
        <f t="shared" si="3"/>
        <v>да</v>
      </c>
    </row>
    <row r="230" spans="1:4" ht="15">
      <c r="A230" s="64">
        <v>224</v>
      </c>
      <c r="B230" s="55" t="s">
        <v>228</v>
      </c>
      <c r="C230" s="57" t="s">
        <v>389</v>
      </c>
      <c r="D230" s="71" t="str">
        <f t="shared" si="3"/>
        <v>да</v>
      </c>
    </row>
    <row r="231" spans="1:4" ht="15">
      <c r="A231" s="64">
        <v>225</v>
      </c>
      <c r="B231" s="55" t="s">
        <v>229</v>
      </c>
      <c r="C231" s="57" t="s">
        <v>390</v>
      </c>
      <c r="D231" s="71" t="str">
        <f t="shared" si="3"/>
        <v>да</v>
      </c>
    </row>
    <row r="232" spans="1:4" ht="15">
      <c r="A232" s="64">
        <v>226</v>
      </c>
      <c r="B232" s="63" t="s">
        <v>230</v>
      </c>
      <c r="C232" s="57" t="s">
        <v>391</v>
      </c>
      <c r="D232" s="71" t="str">
        <f t="shared" si="3"/>
        <v>да</v>
      </c>
    </row>
    <row r="233" spans="1:4" ht="15">
      <c r="A233" s="64">
        <v>227</v>
      </c>
      <c r="B233" s="55" t="s">
        <v>231</v>
      </c>
      <c r="C233" s="57" t="s">
        <v>281</v>
      </c>
      <c r="D233" s="71" t="str">
        <f t="shared" si="3"/>
        <v>да</v>
      </c>
    </row>
    <row r="234" spans="1:4" ht="15">
      <c r="A234" s="64">
        <v>228</v>
      </c>
      <c r="B234" s="63" t="s">
        <v>232</v>
      </c>
      <c r="C234" s="57" t="s">
        <v>392</v>
      </c>
      <c r="D234" s="71" t="str">
        <f t="shared" si="3"/>
        <v>да</v>
      </c>
    </row>
    <row r="235" spans="1:4" ht="15">
      <c r="A235" s="64">
        <v>229</v>
      </c>
      <c r="B235" s="55" t="s">
        <v>233</v>
      </c>
      <c r="C235" s="57" t="s">
        <v>350</v>
      </c>
      <c r="D235" s="71" t="str">
        <f t="shared" si="3"/>
        <v>да</v>
      </c>
    </row>
    <row r="236" spans="1:4" ht="15">
      <c r="A236" s="64">
        <v>230</v>
      </c>
      <c r="B236" s="55" t="s">
        <v>234</v>
      </c>
      <c r="C236" s="57" t="s">
        <v>393</v>
      </c>
      <c r="D236" s="71" t="str">
        <f t="shared" si="3"/>
        <v>да</v>
      </c>
    </row>
    <row r="237" spans="1:4" ht="15">
      <c r="A237" s="64">
        <v>231</v>
      </c>
      <c r="B237" s="55" t="s">
        <v>235</v>
      </c>
      <c r="C237" s="57" t="s">
        <v>394</v>
      </c>
      <c r="D237" s="71" t="str">
        <f t="shared" si="3"/>
        <v>да</v>
      </c>
    </row>
    <row r="238" spans="1:4" ht="15">
      <c r="A238" s="64">
        <v>232</v>
      </c>
      <c r="B238" s="55" t="s">
        <v>236</v>
      </c>
      <c r="C238" s="57" t="s">
        <v>395</v>
      </c>
      <c r="D238" s="71" t="str">
        <f t="shared" si="3"/>
        <v>да</v>
      </c>
    </row>
    <row r="239" spans="1:4" ht="15">
      <c r="A239" s="89">
        <v>232.1</v>
      </c>
      <c r="B239" s="63" t="s">
        <v>485</v>
      </c>
      <c r="C239" s="62" t="s">
        <v>381</v>
      </c>
      <c r="D239" s="71" t="str">
        <f t="shared" si="3"/>
        <v>да</v>
      </c>
    </row>
    <row r="240" spans="1:4" ht="15">
      <c r="A240" s="64">
        <v>233</v>
      </c>
      <c r="B240" s="55" t="s">
        <v>237</v>
      </c>
      <c r="C240" s="57" t="s">
        <v>396</v>
      </c>
      <c r="D240" s="71" t="str">
        <f t="shared" si="3"/>
        <v>да</v>
      </c>
    </row>
    <row r="241" spans="1:4" ht="15">
      <c r="A241" s="64">
        <v>234</v>
      </c>
      <c r="B241" s="55" t="s">
        <v>238</v>
      </c>
      <c r="C241" s="57" t="s">
        <v>397</v>
      </c>
      <c r="D241" s="71" t="str">
        <f t="shared" si="3"/>
        <v>да</v>
      </c>
    </row>
    <row r="242" spans="1:4" ht="15">
      <c r="A242" s="64">
        <v>235</v>
      </c>
      <c r="B242" s="55" t="s">
        <v>239</v>
      </c>
      <c r="C242" s="57" t="s">
        <v>398</v>
      </c>
      <c r="D242" s="71" t="str">
        <f t="shared" si="3"/>
        <v>да</v>
      </c>
    </row>
    <row r="243" spans="1:4" ht="15">
      <c r="A243" s="64">
        <v>236</v>
      </c>
      <c r="B243" s="55" t="s">
        <v>240</v>
      </c>
      <c r="C243" s="57" t="s">
        <v>399</v>
      </c>
      <c r="D243" s="71" t="str">
        <f t="shared" si="3"/>
        <v>да</v>
      </c>
    </row>
    <row r="244" spans="1:4" ht="15">
      <c r="A244" s="64">
        <v>237</v>
      </c>
      <c r="B244" s="55" t="s">
        <v>241</v>
      </c>
      <c r="C244" s="62" t="s">
        <v>545</v>
      </c>
      <c r="D244" s="71" t="str">
        <f t="shared" si="3"/>
        <v>да</v>
      </c>
    </row>
    <row r="245" spans="1:4" ht="15">
      <c r="A245" s="64">
        <v>238</v>
      </c>
      <c r="B245" s="55" t="s">
        <v>242</v>
      </c>
      <c r="C245" s="57" t="s">
        <v>400</v>
      </c>
      <c r="D245" s="71" t="str">
        <f t="shared" si="3"/>
        <v>да</v>
      </c>
    </row>
    <row r="246" spans="1:4" ht="15">
      <c r="A246" s="64">
        <v>239</v>
      </c>
      <c r="B246" s="55" t="s">
        <v>243</v>
      </c>
      <c r="C246" s="57" t="s">
        <v>401</v>
      </c>
      <c r="D246" s="71" t="str">
        <f t="shared" si="3"/>
        <v>да</v>
      </c>
    </row>
    <row r="247" spans="1:4" ht="15">
      <c r="A247" s="64">
        <v>240</v>
      </c>
      <c r="B247" s="63" t="s">
        <v>515</v>
      </c>
      <c r="C247" s="62" t="s">
        <v>516</v>
      </c>
      <c r="D247" s="71" t="str">
        <f t="shared" si="3"/>
        <v>да</v>
      </c>
    </row>
    <row r="248" spans="1:4" ht="15">
      <c r="A248" s="64">
        <v>241</v>
      </c>
      <c r="B248" s="55" t="s">
        <v>244</v>
      </c>
      <c r="C248" s="57" t="s">
        <v>402</v>
      </c>
      <c r="D248" s="71" t="str">
        <f t="shared" si="3"/>
        <v>да</v>
      </c>
    </row>
    <row r="249" spans="1:4" ht="15">
      <c r="A249" s="64">
        <v>242</v>
      </c>
      <c r="B249" s="55" t="s">
        <v>245</v>
      </c>
      <c r="C249" s="57" t="s">
        <v>403</v>
      </c>
      <c r="D249" s="71" t="str">
        <f t="shared" si="3"/>
        <v>да</v>
      </c>
    </row>
    <row r="250" spans="1:4" ht="15">
      <c r="A250" s="64">
        <v>243</v>
      </c>
      <c r="B250" s="63" t="s">
        <v>658</v>
      </c>
      <c r="C250" s="62" t="s">
        <v>660</v>
      </c>
      <c r="D250" s="71" t="str">
        <f t="shared" si="3"/>
        <v>да</v>
      </c>
    </row>
    <row r="251" spans="1:4" ht="15">
      <c r="A251" s="64">
        <v>244</v>
      </c>
      <c r="B251" s="55" t="s">
        <v>246</v>
      </c>
      <c r="C251" s="57" t="s">
        <v>404</v>
      </c>
      <c r="D251" s="71" t="str">
        <f t="shared" si="3"/>
        <v>да</v>
      </c>
    </row>
    <row r="252" spans="1:4" ht="15">
      <c r="A252" s="64">
        <v>245</v>
      </c>
      <c r="B252" s="55" t="s">
        <v>110</v>
      </c>
      <c r="C252" s="57" t="s">
        <v>405</v>
      </c>
      <c r="D252" s="71" t="str">
        <f t="shared" si="3"/>
        <v>да</v>
      </c>
    </row>
    <row r="253" spans="1:4" ht="15">
      <c r="A253" s="64">
        <v>246</v>
      </c>
      <c r="B253" s="63" t="s">
        <v>659</v>
      </c>
      <c r="C253" s="62" t="s">
        <v>661</v>
      </c>
      <c r="D253" s="71" t="str">
        <f t="shared" si="3"/>
        <v>да</v>
      </c>
    </row>
    <row r="254" spans="1:4" ht="15">
      <c r="A254" s="64">
        <v>247</v>
      </c>
      <c r="B254" s="55" t="s">
        <v>234</v>
      </c>
      <c r="C254" s="57" t="s">
        <v>406</v>
      </c>
      <c r="D254" s="71" t="str">
        <f t="shared" si="3"/>
        <v>да</v>
      </c>
    </row>
    <row r="255" spans="1:4" ht="15">
      <c r="A255" s="64">
        <v>248</v>
      </c>
      <c r="B255" s="55" t="s">
        <v>247</v>
      </c>
      <c r="C255" s="57" t="s">
        <v>407</v>
      </c>
      <c r="D255" s="71" t="str">
        <f t="shared" si="3"/>
        <v>да</v>
      </c>
    </row>
    <row r="256" spans="1:4" ht="15">
      <c r="A256" s="64">
        <v>249</v>
      </c>
      <c r="B256" s="55" t="s">
        <v>248</v>
      </c>
      <c r="C256" s="57" t="s">
        <v>408</v>
      </c>
      <c r="D256" s="71" t="str">
        <f t="shared" si="3"/>
        <v>да</v>
      </c>
    </row>
    <row r="257" spans="1:4" ht="15">
      <c r="A257" s="64">
        <v>250</v>
      </c>
      <c r="B257" s="55" t="s">
        <v>450</v>
      </c>
      <c r="C257" s="57" t="s">
        <v>451</v>
      </c>
      <c r="D257" s="71" t="str">
        <f t="shared" si="3"/>
        <v>да</v>
      </c>
    </row>
    <row r="258" spans="1:4" ht="15.75">
      <c r="A258" s="64">
        <v>251</v>
      </c>
      <c r="B258" s="75" t="s">
        <v>452</v>
      </c>
      <c r="C258" s="57" t="s">
        <v>453</v>
      </c>
      <c r="D258" s="71" t="str">
        <f t="shared" si="3"/>
        <v>да</v>
      </c>
    </row>
    <row r="259" spans="1:4" ht="15">
      <c r="A259" s="64">
        <v>252</v>
      </c>
      <c r="B259" s="55" t="s">
        <v>249</v>
      </c>
      <c r="C259" s="57" t="s">
        <v>409</v>
      </c>
      <c r="D259" s="71" t="str">
        <f t="shared" si="3"/>
        <v>да</v>
      </c>
    </row>
    <row r="260" spans="1:4" ht="15">
      <c r="A260" s="65">
        <v>253</v>
      </c>
      <c r="B260" s="55" t="s">
        <v>17</v>
      </c>
      <c r="C260" s="62" t="s">
        <v>512</v>
      </c>
      <c r="D260" s="71" t="str">
        <f t="shared" si="3"/>
        <v>да</v>
      </c>
    </row>
    <row r="261" spans="1:4" ht="15">
      <c r="A261" s="65">
        <v>254</v>
      </c>
      <c r="B261" s="63" t="s">
        <v>486</v>
      </c>
      <c r="C261" s="62" t="s">
        <v>494</v>
      </c>
      <c r="D261" s="71" t="str">
        <f t="shared" si="3"/>
        <v>да</v>
      </c>
    </row>
    <row r="262" spans="1:4" ht="15">
      <c r="A262" s="65">
        <v>255</v>
      </c>
      <c r="B262" s="63" t="s">
        <v>495</v>
      </c>
      <c r="C262" s="62" t="s">
        <v>496</v>
      </c>
      <c r="D262" s="71" t="str">
        <f t="shared" si="3"/>
        <v>да</v>
      </c>
    </row>
    <row r="263" spans="1:4" ht="15">
      <c r="A263" s="65">
        <v>256</v>
      </c>
      <c r="B263" s="55" t="s">
        <v>251</v>
      </c>
      <c r="C263" s="57" t="s">
        <v>411</v>
      </c>
      <c r="D263" s="71" t="str">
        <f t="shared" si="3"/>
        <v>да</v>
      </c>
    </row>
    <row r="264" spans="1:4" ht="15">
      <c r="A264" s="65">
        <v>257</v>
      </c>
      <c r="B264" s="63" t="s">
        <v>546</v>
      </c>
      <c r="C264" s="62" t="s">
        <v>547</v>
      </c>
      <c r="D264" s="71" t="str">
        <f t="shared" si="3"/>
        <v>да</v>
      </c>
    </row>
    <row r="265" spans="1:4" ht="15">
      <c r="A265" s="65">
        <v>258</v>
      </c>
      <c r="B265" s="63" t="s">
        <v>719</v>
      </c>
      <c r="C265" s="62" t="s">
        <v>721</v>
      </c>
      <c r="D265" s="71" t="str">
        <f aca="true" t="shared" si="4" ref="D265:D336">IF(C265&lt;&gt;"","да","нет")</f>
        <v>да</v>
      </c>
    </row>
    <row r="266" spans="1:4" ht="15.75">
      <c r="A266" s="65">
        <v>259</v>
      </c>
      <c r="B266" s="75" t="s">
        <v>720</v>
      </c>
      <c r="C266" s="76" t="s">
        <v>722</v>
      </c>
      <c r="D266" s="71" t="str">
        <f t="shared" si="4"/>
        <v>да</v>
      </c>
    </row>
    <row r="267" spans="1:4" ht="15">
      <c r="A267" s="65">
        <v>260</v>
      </c>
      <c r="B267" s="63" t="s">
        <v>253</v>
      </c>
      <c r="C267" s="62" t="s">
        <v>410</v>
      </c>
      <c r="D267" s="71" t="str">
        <f t="shared" si="4"/>
        <v>да</v>
      </c>
    </row>
    <row r="268" spans="1:4" ht="15">
      <c r="A268" s="65">
        <v>261</v>
      </c>
      <c r="B268" s="63" t="s">
        <v>250</v>
      </c>
      <c r="C268" s="62" t="s">
        <v>480</v>
      </c>
      <c r="D268" s="71" t="str">
        <f t="shared" si="4"/>
        <v>да</v>
      </c>
    </row>
    <row r="269" spans="1:4" ht="15">
      <c r="A269" s="65">
        <v>262</v>
      </c>
      <c r="B269" s="63" t="s">
        <v>252</v>
      </c>
      <c r="C269" s="62" t="s">
        <v>412</v>
      </c>
      <c r="D269" s="71" t="str">
        <f t="shared" si="4"/>
        <v>да</v>
      </c>
    </row>
    <row r="270" spans="1:4" ht="15">
      <c r="A270" s="65">
        <v>263</v>
      </c>
      <c r="B270" s="63" t="s">
        <v>482</v>
      </c>
      <c r="C270" s="62" t="s">
        <v>481</v>
      </c>
      <c r="D270" s="71" t="str">
        <f t="shared" si="4"/>
        <v>да</v>
      </c>
    </row>
    <row r="271" spans="1:4" ht="15.75">
      <c r="A271" s="65">
        <v>264</v>
      </c>
      <c r="B271" s="75" t="s">
        <v>548</v>
      </c>
      <c r="C271" s="76" t="s">
        <v>494</v>
      </c>
      <c r="D271" s="71" t="str">
        <f t="shared" si="4"/>
        <v>да</v>
      </c>
    </row>
    <row r="272" spans="1:4" ht="15">
      <c r="A272" s="65">
        <v>265</v>
      </c>
      <c r="B272" s="63" t="s">
        <v>456</v>
      </c>
      <c r="C272" s="62" t="s">
        <v>505</v>
      </c>
      <c r="D272" s="71" t="str">
        <f t="shared" si="4"/>
        <v>да</v>
      </c>
    </row>
    <row r="273" spans="1:4" ht="15">
      <c r="A273" s="65">
        <v>266</v>
      </c>
      <c r="B273" s="63" t="s">
        <v>457</v>
      </c>
      <c r="C273" s="57" t="s">
        <v>296</v>
      </c>
      <c r="D273" s="71" t="str">
        <f t="shared" si="4"/>
        <v>да</v>
      </c>
    </row>
    <row r="274" spans="1:4" ht="15">
      <c r="A274" s="65">
        <v>267</v>
      </c>
      <c r="B274" s="63" t="s">
        <v>504</v>
      </c>
      <c r="C274" s="62" t="s">
        <v>579</v>
      </c>
      <c r="D274" s="71" t="str">
        <f t="shared" si="4"/>
        <v>да</v>
      </c>
    </row>
    <row r="275" spans="1:4" ht="15">
      <c r="A275" s="65">
        <v>268</v>
      </c>
      <c r="B275" s="63" t="s">
        <v>4</v>
      </c>
      <c r="C275" s="57" t="s">
        <v>297</v>
      </c>
      <c r="D275" s="71" t="str">
        <f t="shared" si="4"/>
        <v>да</v>
      </c>
    </row>
    <row r="276" spans="1:4" ht="15">
      <c r="A276" s="66">
        <v>270</v>
      </c>
      <c r="B276" s="55" t="s">
        <v>18</v>
      </c>
      <c r="C276" s="57" t="s">
        <v>19</v>
      </c>
      <c r="D276" s="71" t="str">
        <f t="shared" si="4"/>
        <v>да</v>
      </c>
    </row>
    <row r="277" spans="1:4" ht="15">
      <c r="A277" s="66">
        <v>271</v>
      </c>
      <c r="B277" s="55" t="s">
        <v>0</v>
      </c>
      <c r="C277" s="57" t="s">
        <v>455</v>
      </c>
      <c r="D277" s="71" t="str">
        <f t="shared" si="4"/>
        <v>да</v>
      </c>
    </row>
    <row r="278" spans="1:4" ht="15">
      <c r="A278" s="66">
        <v>272</v>
      </c>
      <c r="B278" s="55" t="s">
        <v>254</v>
      </c>
      <c r="C278" s="57" t="s">
        <v>413</v>
      </c>
      <c r="D278" s="71" t="str">
        <f t="shared" si="4"/>
        <v>да</v>
      </c>
    </row>
    <row r="279" spans="1:4" ht="15">
      <c r="A279" s="66">
        <v>273</v>
      </c>
      <c r="B279" s="55" t="s">
        <v>255</v>
      </c>
      <c r="C279" s="57" t="s">
        <v>414</v>
      </c>
      <c r="D279" s="71" t="str">
        <f t="shared" si="4"/>
        <v>да</v>
      </c>
    </row>
    <row r="280" spans="1:4" ht="15">
      <c r="A280" s="66">
        <v>274</v>
      </c>
      <c r="B280" s="55" t="s">
        <v>256</v>
      </c>
      <c r="C280" s="57" t="s">
        <v>415</v>
      </c>
      <c r="D280" s="71" t="str">
        <f t="shared" si="4"/>
        <v>да</v>
      </c>
    </row>
    <row r="281" spans="1:4" ht="15">
      <c r="A281" s="66">
        <v>275</v>
      </c>
      <c r="B281" s="55" t="s">
        <v>257</v>
      </c>
      <c r="C281" s="57" t="s">
        <v>416</v>
      </c>
      <c r="D281" s="71" t="str">
        <f t="shared" si="4"/>
        <v>да</v>
      </c>
    </row>
    <row r="282" spans="1:4" ht="15">
      <c r="A282" s="66">
        <v>276</v>
      </c>
      <c r="B282" s="63" t="s">
        <v>518</v>
      </c>
      <c r="C282" s="62" t="s">
        <v>517</v>
      </c>
      <c r="D282" s="71" t="str">
        <f t="shared" si="4"/>
        <v>да</v>
      </c>
    </row>
    <row r="283" spans="1:4" ht="15">
      <c r="A283" s="66">
        <v>277</v>
      </c>
      <c r="B283" s="63" t="s">
        <v>520</v>
      </c>
      <c r="C283" s="62" t="s">
        <v>519</v>
      </c>
      <c r="D283" s="71" t="str">
        <f t="shared" si="4"/>
        <v>да</v>
      </c>
    </row>
    <row r="284" spans="1:4" ht="15">
      <c r="A284" s="66">
        <v>278</v>
      </c>
      <c r="B284" s="55" t="s">
        <v>258</v>
      </c>
      <c r="C284" s="57" t="s">
        <v>417</v>
      </c>
      <c r="D284" s="71" t="str">
        <f t="shared" si="4"/>
        <v>да</v>
      </c>
    </row>
    <row r="285" spans="1:4" ht="15">
      <c r="A285" s="66">
        <v>279</v>
      </c>
      <c r="B285" s="55" t="s">
        <v>259</v>
      </c>
      <c r="C285" s="57" t="s">
        <v>418</v>
      </c>
      <c r="D285" s="71" t="str">
        <f t="shared" si="4"/>
        <v>да</v>
      </c>
    </row>
    <row r="286" spans="1:4" ht="15">
      <c r="A286" s="66">
        <v>280</v>
      </c>
      <c r="B286" s="55" t="s">
        <v>260</v>
      </c>
      <c r="C286" s="57" t="s">
        <v>419</v>
      </c>
      <c r="D286" s="71" t="str">
        <f t="shared" si="4"/>
        <v>да</v>
      </c>
    </row>
    <row r="287" spans="1:4" ht="15">
      <c r="A287" s="66">
        <v>281</v>
      </c>
      <c r="B287" s="55" t="s">
        <v>261</v>
      </c>
      <c r="C287" s="57" t="s">
        <v>420</v>
      </c>
      <c r="D287" s="71" t="str">
        <f t="shared" si="4"/>
        <v>да</v>
      </c>
    </row>
    <row r="288" spans="1:4" ht="15.75">
      <c r="A288" s="66">
        <v>282</v>
      </c>
      <c r="B288" s="75" t="s">
        <v>262</v>
      </c>
      <c r="C288" s="57" t="s">
        <v>421</v>
      </c>
      <c r="D288" s="71" t="str">
        <f t="shared" si="4"/>
        <v>да</v>
      </c>
    </row>
    <row r="289" spans="1:4" ht="15">
      <c r="A289" s="66">
        <v>283</v>
      </c>
      <c r="B289" s="63" t="s">
        <v>550</v>
      </c>
      <c r="C289" s="62" t="s">
        <v>549</v>
      </c>
      <c r="D289" s="71" t="str">
        <f t="shared" si="4"/>
        <v>да</v>
      </c>
    </row>
    <row r="290" spans="1:4" ht="15">
      <c r="A290" s="66">
        <v>284</v>
      </c>
      <c r="B290" s="63" t="s">
        <v>551</v>
      </c>
      <c r="C290" s="62" t="s">
        <v>552</v>
      </c>
      <c r="D290" s="71" t="str">
        <f t="shared" si="4"/>
        <v>да</v>
      </c>
    </row>
    <row r="291" spans="1:4" ht="15">
      <c r="A291" s="66">
        <v>285</v>
      </c>
      <c r="B291" s="63" t="s">
        <v>554</v>
      </c>
      <c r="C291" s="62" t="s">
        <v>553</v>
      </c>
      <c r="D291" s="71" t="str">
        <f t="shared" si="4"/>
        <v>да</v>
      </c>
    </row>
    <row r="292" spans="1:4" ht="15">
      <c r="A292" s="66">
        <v>286</v>
      </c>
      <c r="B292" s="63" t="s">
        <v>263</v>
      </c>
      <c r="C292" s="57" t="s">
        <v>422</v>
      </c>
      <c r="D292" s="71" t="str">
        <f t="shared" si="4"/>
        <v>да</v>
      </c>
    </row>
    <row r="293" spans="1:4" ht="15">
      <c r="A293" s="66">
        <v>287</v>
      </c>
      <c r="B293" s="63" t="s">
        <v>556</v>
      </c>
      <c r="C293" s="62" t="s">
        <v>555</v>
      </c>
      <c r="D293" s="71" t="str">
        <f t="shared" si="4"/>
        <v>да</v>
      </c>
    </row>
    <row r="294" spans="1:4" ht="15">
      <c r="A294" s="66">
        <v>288</v>
      </c>
      <c r="B294" s="63" t="s">
        <v>521</v>
      </c>
      <c r="C294" s="62" t="s">
        <v>557</v>
      </c>
      <c r="D294" s="71" t="str">
        <f t="shared" si="4"/>
        <v>да</v>
      </c>
    </row>
    <row r="295" spans="1:4" ht="15">
      <c r="A295" s="66">
        <v>289</v>
      </c>
      <c r="B295" s="63" t="s">
        <v>559</v>
      </c>
      <c r="C295" s="62" t="s">
        <v>558</v>
      </c>
      <c r="D295" s="71" t="str">
        <f t="shared" si="4"/>
        <v>да</v>
      </c>
    </row>
    <row r="296" spans="1:4" ht="15">
      <c r="A296" s="66">
        <v>290</v>
      </c>
      <c r="B296" s="63" t="s">
        <v>561</v>
      </c>
      <c r="C296" s="62" t="s">
        <v>560</v>
      </c>
      <c r="D296" s="71" t="str">
        <f t="shared" si="4"/>
        <v>да</v>
      </c>
    </row>
    <row r="297" spans="1:4" ht="15">
      <c r="A297" s="84">
        <v>290.1</v>
      </c>
      <c r="B297" s="63" t="s">
        <v>562</v>
      </c>
      <c r="C297" s="62" t="s">
        <v>563</v>
      </c>
      <c r="D297" s="71" t="str">
        <f t="shared" si="4"/>
        <v>да</v>
      </c>
    </row>
    <row r="298" spans="1:4" ht="15">
      <c r="A298" s="66">
        <v>291</v>
      </c>
      <c r="B298" s="55" t="s">
        <v>264</v>
      </c>
      <c r="C298" s="57" t="s">
        <v>423</v>
      </c>
      <c r="D298" s="71" t="str">
        <f t="shared" si="4"/>
        <v>да</v>
      </c>
    </row>
    <row r="299" spans="1:4" ht="15">
      <c r="A299" s="66">
        <v>292</v>
      </c>
      <c r="B299" s="63" t="s">
        <v>564</v>
      </c>
      <c r="C299" s="62" t="s">
        <v>565</v>
      </c>
      <c r="D299" s="71" t="str">
        <f t="shared" si="4"/>
        <v>да</v>
      </c>
    </row>
    <row r="300" spans="1:4" ht="15">
      <c r="A300" s="66">
        <v>293</v>
      </c>
      <c r="B300" s="63" t="s">
        <v>567</v>
      </c>
      <c r="C300" s="62" t="s">
        <v>566</v>
      </c>
      <c r="D300" s="71" t="str">
        <f t="shared" si="4"/>
        <v>да</v>
      </c>
    </row>
    <row r="301" spans="1:4" ht="15.75">
      <c r="A301" s="66">
        <v>294</v>
      </c>
      <c r="B301" s="75" t="s">
        <v>570</v>
      </c>
      <c r="C301" s="62" t="s">
        <v>569</v>
      </c>
      <c r="D301" s="71" t="str">
        <f t="shared" si="4"/>
        <v>да</v>
      </c>
    </row>
    <row r="302" spans="1:4" ht="15.75">
      <c r="A302" s="66">
        <v>295</v>
      </c>
      <c r="B302" s="75" t="s">
        <v>265</v>
      </c>
      <c r="C302" s="57" t="s">
        <v>424</v>
      </c>
      <c r="D302" s="71" t="str">
        <f t="shared" si="4"/>
        <v>да</v>
      </c>
    </row>
    <row r="303" spans="1:4" ht="15">
      <c r="A303" s="66">
        <v>296</v>
      </c>
      <c r="B303" s="55" t="s">
        <v>266</v>
      </c>
      <c r="C303" s="62" t="s">
        <v>580</v>
      </c>
      <c r="D303" s="71" t="str">
        <f t="shared" si="4"/>
        <v>да</v>
      </c>
    </row>
    <row r="304" spans="1:4" ht="15">
      <c r="A304" s="66">
        <v>297</v>
      </c>
      <c r="B304" s="55" t="s">
        <v>267</v>
      </c>
      <c r="C304" s="62" t="s">
        <v>581</v>
      </c>
      <c r="D304" s="71" t="str">
        <f t="shared" si="4"/>
        <v>да</v>
      </c>
    </row>
    <row r="305" spans="1:4" ht="15">
      <c r="A305" s="66">
        <v>298</v>
      </c>
      <c r="B305" s="55" t="s">
        <v>268</v>
      </c>
      <c r="C305" s="57" t="s">
        <v>425</v>
      </c>
      <c r="D305" s="71" t="str">
        <f t="shared" si="4"/>
        <v>да</v>
      </c>
    </row>
    <row r="306" spans="1:4" ht="15">
      <c r="A306" s="66">
        <v>299</v>
      </c>
      <c r="B306" s="55" t="s">
        <v>497</v>
      </c>
      <c r="C306" s="57" t="s">
        <v>499</v>
      </c>
      <c r="D306" s="71" t="str">
        <f t="shared" si="4"/>
        <v>да</v>
      </c>
    </row>
    <row r="307" spans="1:4" ht="15">
      <c r="A307" s="66">
        <v>300</v>
      </c>
      <c r="B307" s="55" t="s">
        <v>498</v>
      </c>
      <c r="C307" s="57" t="s">
        <v>500</v>
      </c>
      <c r="D307" s="71" t="str">
        <f t="shared" si="4"/>
        <v>да</v>
      </c>
    </row>
    <row r="308" spans="1:4" ht="15">
      <c r="A308" s="66">
        <v>301</v>
      </c>
      <c r="B308" s="55" t="s">
        <v>269</v>
      </c>
      <c r="C308" s="62" t="s">
        <v>568</v>
      </c>
      <c r="D308" s="71" t="str">
        <f t="shared" si="4"/>
        <v>да</v>
      </c>
    </row>
    <row r="309" spans="1:4" ht="15">
      <c r="A309" s="66">
        <v>302</v>
      </c>
      <c r="B309" s="55" t="s">
        <v>270</v>
      </c>
      <c r="C309" s="57" t="s">
        <v>426</v>
      </c>
      <c r="D309" s="71" t="str">
        <f t="shared" si="4"/>
        <v>да</v>
      </c>
    </row>
    <row r="310" spans="1:4" ht="15">
      <c r="A310" s="66">
        <v>303</v>
      </c>
      <c r="B310" s="55" t="s">
        <v>271</v>
      </c>
      <c r="C310" s="57" t="s">
        <v>427</v>
      </c>
      <c r="D310" s="71" t="str">
        <f>IF(C310&lt;&gt;"","да","нет")</f>
        <v>да</v>
      </c>
    </row>
    <row r="311" spans="1:4" ht="15">
      <c r="A311" s="84">
        <v>303.1</v>
      </c>
      <c r="B311" s="63" t="s">
        <v>501</v>
      </c>
      <c r="C311" s="62" t="s">
        <v>502</v>
      </c>
      <c r="D311" s="86" t="s">
        <v>472</v>
      </c>
    </row>
    <row r="312" spans="1:4" ht="15.75">
      <c r="A312" s="78">
        <v>303.2</v>
      </c>
      <c r="B312" s="85" t="s">
        <v>473</v>
      </c>
      <c r="C312" s="79" t="s">
        <v>470</v>
      </c>
      <c r="D312" s="81" t="s">
        <v>472</v>
      </c>
    </row>
    <row r="313" spans="1:4" ht="15">
      <c r="A313" s="78">
        <v>303.3</v>
      </c>
      <c r="B313" s="79" t="s">
        <v>514</v>
      </c>
      <c r="C313" s="79" t="s">
        <v>513</v>
      </c>
      <c r="D313" s="81" t="s">
        <v>472</v>
      </c>
    </row>
    <row r="314" spans="1:4" ht="15">
      <c r="A314" s="78">
        <v>303.4</v>
      </c>
      <c r="B314" s="79" t="s">
        <v>474</v>
      </c>
      <c r="C314" s="82" t="s">
        <v>471</v>
      </c>
      <c r="D314" s="81" t="s">
        <v>472</v>
      </c>
    </row>
    <row r="315" spans="1:4" ht="15">
      <c r="A315" s="78">
        <v>303.5</v>
      </c>
      <c r="B315" s="79" t="s">
        <v>487</v>
      </c>
      <c r="C315" s="79" t="s">
        <v>571</v>
      </c>
      <c r="D315" s="81" t="s">
        <v>472</v>
      </c>
    </row>
    <row r="316" spans="1:4" ht="15">
      <c r="A316" s="78">
        <v>303.7</v>
      </c>
      <c r="B316" s="79" t="s">
        <v>488</v>
      </c>
      <c r="C316" s="79" t="s">
        <v>572</v>
      </c>
      <c r="D316" s="81" t="s">
        <v>472</v>
      </c>
    </row>
    <row r="317" spans="1:4" ht="15.75">
      <c r="A317" s="78">
        <v>303.6</v>
      </c>
      <c r="B317" s="85" t="s">
        <v>522</v>
      </c>
      <c r="C317" s="79" t="s">
        <v>523</v>
      </c>
      <c r="D317" s="81" t="s">
        <v>472</v>
      </c>
    </row>
    <row r="318" spans="1:4" ht="15">
      <c r="A318" s="66">
        <v>304</v>
      </c>
      <c r="B318" s="55" t="s">
        <v>272</v>
      </c>
      <c r="C318" s="57" t="s">
        <v>428</v>
      </c>
      <c r="D318" s="71" t="str">
        <f t="shared" si="4"/>
        <v>да</v>
      </c>
    </row>
    <row r="319" spans="1:4" ht="15">
      <c r="A319" s="66">
        <v>305</v>
      </c>
      <c r="B319" s="63" t="s">
        <v>573</v>
      </c>
      <c r="C319" s="62" t="s">
        <v>574</v>
      </c>
      <c r="D319" s="71" t="str">
        <f t="shared" si="4"/>
        <v>да</v>
      </c>
    </row>
    <row r="320" spans="1:4" ht="15">
      <c r="A320" s="66">
        <v>306</v>
      </c>
      <c r="B320" s="55" t="s">
        <v>273</v>
      </c>
      <c r="C320" s="57" t="s">
        <v>429</v>
      </c>
      <c r="D320" s="71" t="str">
        <f t="shared" si="4"/>
        <v>да</v>
      </c>
    </row>
    <row r="321" spans="1:4" ht="15">
      <c r="A321" s="66">
        <v>307</v>
      </c>
      <c r="B321" s="55" t="s">
        <v>274</v>
      </c>
      <c r="C321" s="57" t="s">
        <v>430</v>
      </c>
      <c r="D321" s="71" t="str">
        <f t="shared" si="4"/>
        <v>да</v>
      </c>
    </row>
    <row r="322" spans="1:4" ht="15">
      <c r="A322" s="72">
        <v>308</v>
      </c>
      <c r="B322" t="s">
        <v>458</v>
      </c>
      <c r="C322" t="s">
        <v>275</v>
      </c>
      <c r="D322" s="71" t="str">
        <f t="shared" si="4"/>
        <v>да</v>
      </c>
    </row>
    <row r="323" spans="1:4" ht="15">
      <c r="A323" s="72">
        <v>309</v>
      </c>
      <c r="B323" t="s">
        <v>77</v>
      </c>
      <c r="C323" t="s">
        <v>276</v>
      </c>
      <c r="D323" s="71" t="str">
        <f t="shared" si="4"/>
        <v>да</v>
      </c>
    </row>
    <row r="324" spans="1:4" ht="15">
      <c r="A324" s="72">
        <v>310</v>
      </c>
      <c r="B324" t="s">
        <v>78</v>
      </c>
      <c r="C324" t="s">
        <v>277</v>
      </c>
      <c r="D324" s="71" t="str">
        <f t="shared" si="4"/>
        <v>да</v>
      </c>
    </row>
    <row r="325" spans="1:4" ht="15">
      <c r="A325" s="72">
        <v>311</v>
      </c>
      <c r="B325" t="s">
        <v>79</v>
      </c>
      <c r="C325" t="s">
        <v>278</v>
      </c>
      <c r="D325" s="71" t="str">
        <f t="shared" si="4"/>
        <v>да</v>
      </c>
    </row>
    <row r="326" spans="1:4" ht="15">
      <c r="A326" s="72">
        <v>312</v>
      </c>
      <c r="B326" t="s">
        <v>80</v>
      </c>
      <c r="C326" t="s">
        <v>279</v>
      </c>
      <c r="D326" s="71" t="str">
        <f t="shared" si="4"/>
        <v>да</v>
      </c>
    </row>
    <row r="327" spans="1:4" ht="15">
      <c r="A327" s="72">
        <v>313</v>
      </c>
      <c r="B327" t="s">
        <v>81</v>
      </c>
      <c r="C327" t="s">
        <v>280</v>
      </c>
      <c r="D327" s="71" t="str">
        <f t="shared" si="4"/>
        <v>да</v>
      </c>
    </row>
    <row r="328" spans="1:4" ht="15">
      <c r="A328" s="72">
        <v>314</v>
      </c>
      <c r="B328" t="s">
        <v>82</v>
      </c>
      <c r="C328" t="s">
        <v>281</v>
      </c>
      <c r="D328" s="71" t="str">
        <f t="shared" si="4"/>
        <v>да</v>
      </c>
    </row>
    <row r="329" spans="1:4" ht="15">
      <c r="A329" s="72">
        <v>315</v>
      </c>
      <c r="B329" t="s">
        <v>83</v>
      </c>
      <c r="C329" t="s">
        <v>282</v>
      </c>
      <c r="D329" s="71" t="str">
        <f t="shared" si="4"/>
        <v>да</v>
      </c>
    </row>
    <row r="330" spans="1:4" ht="15">
      <c r="A330" s="72">
        <v>316</v>
      </c>
      <c r="B330" t="s">
        <v>84</v>
      </c>
      <c r="C330" t="s">
        <v>283</v>
      </c>
      <c r="D330" s="71" t="str">
        <f t="shared" si="4"/>
        <v>да</v>
      </c>
    </row>
    <row r="331" spans="1:4" ht="15">
      <c r="A331" s="72">
        <v>317</v>
      </c>
      <c r="B331" t="s">
        <v>85</v>
      </c>
      <c r="C331" t="s">
        <v>284</v>
      </c>
      <c r="D331" s="71" t="str">
        <f t="shared" si="4"/>
        <v>да</v>
      </c>
    </row>
    <row r="332" spans="1:4" ht="15">
      <c r="A332" s="72">
        <v>318</v>
      </c>
      <c r="B332" t="s">
        <v>86</v>
      </c>
      <c r="C332" t="s">
        <v>285</v>
      </c>
      <c r="D332" s="71" t="str">
        <f t="shared" si="4"/>
        <v>да</v>
      </c>
    </row>
    <row r="333" spans="1:4" ht="15">
      <c r="A333" s="72">
        <v>319</v>
      </c>
      <c r="B333" t="s">
        <v>459</v>
      </c>
      <c r="C333" t="s">
        <v>286</v>
      </c>
      <c r="D333" s="71" t="str">
        <f t="shared" si="4"/>
        <v>да</v>
      </c>
    </row>
    <row r="334" spans="1:4" ht="15">
      <c r="A334" s="72">
        <v>320</v>
      </c>
      <c r="B334" t="s">
        <v>26</v>
      </c>
      <c r="C334" t="s">
        <v>287</v>
      </c>
      <c r="D334" s="71" t="str">
        <f t="shared" si="4"/>
        <v>да</v>
      </c>
    </row>
    <row r="335" spans="1:4" ht="15">
      <c r="A335" s="72">
        <v>321</v>
      </c>
      <c r="B335" t="s">
        <v>89</v>
      </c>
      <c r="C335" t="s">
        <v>288</v>
      </c>
      <c r="D335" s="71" t="str">
        <f t="shared" si="4"/>
        <v>да</v>
      </c>
    </row>
    <row r="336" spans="1:4" ht="15">
      <c r="A336" s="72">
        <v>322</v>
      </c>
      <c r="B336" t="s">
        <v>90</v>
      </c>
      <c r="C336" t="s">
        <v>12</v>
      </c>
      <c r="D336" s="71" t="str">
        <f t="shared" si="4"/>
        <v>да</v>
      </c>
    </row>
    <row r="337" spans="1:4" ht="15">
      <c r="A337" s="72">
        <v>323</v>
      </c>
      <c r="B337" t="s">
        <v>91</v>
      </c>
      <c r="C337" t="s">
        <v>289</v>
      </c>
      <c r="D337" s="71" t="str">
        <f aca="true" t="shared" si="5" ref="D337:D370">IF(C337&lt;&gt;"","да","нет")</f>
        <v>да</v>
      </c>
    </row>
    <row r="338" spans="1:4" ht="15">
      <c r="A338" s="88">
        <v>323.1</v>
      </c>
      <c r="B338" s="92" t="s">
        <v>484</v>
      </c>
      <c r="C338" t="s">
        <v>483</v>
      </c>
      <c r="D338" s="71" t="str">
        <f t="shared" si="5"/>
        <v>да</v>
      </c>
    </row>
    <row r="339" spans="1:4" ht="15">
      <c r="A339" s="72">
        <v>324</v>
      </c>
      <c r="B339" t="s">
        <v>92</v>
      </c>
      <c r="C339" t="s">
        <v>290</v>
      </c>
      <c r="D339" s="71" t="str">
        <f t="shared" si="5"/>
        <v>да</v>
      </c>
    </row>
    <row r="340" spans="1:4" ht="15">
      <c r="A340" s="72">
        <v>325</v>
      </c>
      <c r="B340" t="s">
        <v>93</v>
      </c>
      <c r="C340" t="s">
        <v>291</v>
      </c>
      <c r="D340" s="71" t="str">
        <f t="shared" si="5"/>
        <v>да</v>
      </c>
    </row>
    <row r="341" spans="1:4" ht="15">
      <c r="A341" s="72">
        <v>326</v>
      </c>
      <c r="B341" s="91" t="s">
        <v>94</v>
      </c>
      <c r="C341" s="87" t="s">
        <v>292</v>
      </c>
      <c r="D341" s="71" t="str">
        <f t="shared" si="5"/>
        <v>да</v>
      </c>
    </row>
    <row r="342" spans="1:4" ht="15">
      <c r="A342" s="72">
        <v>327</v>
      </c>
      <c r="B342" s="87" t="s">
        <v>95</v>
      </c>
      <c r="C342" s="87" t="s">
        <v>293</v>
      </c>
      <c r="D342" s="71" t="str">
        <f t="shared" si="5"/>
        <v>да</v>
      </c>
    </row>
    <row r="343" spans="1:4" ht="15">
      <c r="A343" s="72">
        <v>328</v>
      </c>
      <c r="B343" t="s">
        <v>460</v>
      </c>
      <c r="C343" t="s">
        <v>294</v>
      </c>
      <c r="D343" s="71" t="str">
        <f t="shared" si="5"/>
        <v>да</v>
      </c>
    </row>
    <row r="344" spans="1:4" ht="15">
      <c r="A344" s="72">
        <v>329</v>
      </c>
      <c r="B344" s="92" t="s">
        <v>525</v>
      </c>
      <c r="C344" s="92" t="s">
        <v>524</v>
      </c>
      <c r="D344" s="71" t="str">
        <f t="shared" si="5"/>
        <v>да</v>
      </c>
    </row>
    <row r="345" spans="1:4" ht="15">
      <c r="A345" s="72">
        <v>330</v>
      </c>
      <c r="B345" t="s">
        <v>274</v>
      </c>
      <c r="C345" t="s">
        <v>430</v>
      </c>
      <c r="D345" s="71" t="str">
        <f t="shared" si="5"/>
        <v>да</v>
      </c>
    </row>
    <row r="346" spans="1:4" ht="15">
      <c r="A346" s="72">
        <v>331</v>
      </c>
      <c r="B346" s="92" t="s">
        <v>527</v>
      </c>
      <c r="C346" s="92" t="s">
        <v>529</v>
      </c>
      <c r="D346" s="71" t="str">
        <f t="shared" si="5"/>
        <v>да</v>
      </c>
    </row>
    <row r="347" spans="1:4" ht="15">
      <c r="A347" s="72">
        <v>332</v>
      </c>
      <c r="B347" s="92" t="s">
        <v>528</v>
      </c>
      <c r="C347" s="92" t="s">
        <v>530</v>
      </c>
      <c r="D347" s="71" t="str">
        <f t="shared" si="5"/>
        <v>да</v>
      </c>
    </row>
    <row r="348" spans="1:4" ht="15">
      <c r="A348" s="72">
        <v>333</v>
      </c>
      <c r="B348" s="92" t="s">
        <v>539</v>
      </c>
      <c r="C348" s="92" t="s">
        <v>540</v>
      </c>
      <c r="D348" s="71" t="str">
        <f t="shared" si="5"/>
        <v>да</v>
      </c>
    </row>
    <row r="349" spans="1:4" ht="15">
      <c r="A349" s="72">
        <v>334</v>
      </c>
      <c r="B349" s="92" t="s">
        <v>538</v>
      </c>
      <c r="C349" s="92" t="s">
        <v>537</v>
      </c>
      <c r="D349" s="71" t="str">
        <f t="shared" si="5"/>
        <v>да</v>
      </c>
    </row>
    <row r="350" spans="1:4" ht="15">
      <c r="A350" s="72">
        <v>335</v>
      </c>
      <c r="B350" s="92" t="s">
        <v>542</v>
      </c>
      <c r="C350" s="92" t="s">
        <v>541</v>
      </c>
      <c r="D350" s="71" t="str">
        <f t="shared" si="5"/>
        <v>да</v>
      </c>
    </row>
    <row r="351" spans="1:4" ht="15">
      <c r="A351" s="72">
        <v>336</v>
      </c>
      <c r="B351" s="92" t="s">
        <v>543</v>
      </c>
      <c r="C351" s="92" t="s">
        <v>544</v>
      </c>
      <c r="D351" s="71" t="str">
        <f t="shared" si="5"/>
        <v>да</v>
      </c>
    </row>
    <row r="352" spans="1:4" ht="15">
      <c r="A352" s="72">
        <v>337</v>
      </c>
      <c r="B352" s="92" t="s">
        <v>610</v>
      </c>
      <c r="C352" s="92" t="s">
        <v>609</v>
      </c>
      <c r="D352" s="71" t="str">
        <f t="shared" si="5"/>
        <v>да</v>
      </c>
    </row>
    <row r="353" spans="1:4" ht="15">
      <c r="A353" s="72">
        <v>338</v>
      </c>
      <c r="B353" s="92" t="s">
        <v>645</v>
      </c>
      <c r="C353" s="92" t="s">
        <v>611</v>
      </c>
      <c r="D353" s="71" t="str">
        <f t="shared" si="5"/>
        <v>да</v>
      </c>
    </row>
    <row r="354" spans="1:4" ht="15">
      <c r="A354" s="72">
        <v>339</v>
      </c>
      <c r="B354" s="92" t="s">
        <v>612</v>
      </c>
      <c r="C354" s="92" t="s">
        <v>613</v>
      </c>
      <c r="D354" s="71" t="str">
        <f t="shared" si="5"/>
        <v>да</v>
      </c>
    </row>
    <row r="355" spans="1:4" ht="15">
      <c r="A355" s="72">
        <v>340</v>
      </c>
      <c r="B355" s="92" t="s">
        <v>627</v>
      </c>
      <c r="C355" s="92" t="s">
        <v>628</v>
      </c>
      <c r="D355" s="71" t="str">
        <f t="shared" si="5"/>
        <v>да</v>
      </c>
    </row>
    <row r="356" spans="1:4" ht="15">
      <c r="A356" s="72">
        <v>341</v>
      </c>
      <c r="B356" s="92" t="s">
        <v>629</v>
      </c>
      <c r="C356" s="92" t="s">
        <v>631</v>
      </c>
      <c r="D356" s="71" t="str">
        <f t="shared" si="5"/>
        <v>да</v>
      </c>
    </row>
    <row r="357" spans="1:4" ht="15">
      <c r="A357" s="72">
        <v>342</v>
      </c>
      <c r="B357" s="92" t="s">
        <v>632</v>
      </c>
      <c r="C357" t="s">
        <v>630</v>
      </c>
      <c r="D357" s="71" t="str">
        <f t="shared" si="5"/>
        <v>да</v>
      </c>
    </row>
    <row r="358" spans="1:4" ht="15">
      <c r="A358" s="72">
        <v>343</v>
      </c>
      <c r="B358" s="92" t="s">
        <v>615</v>
      </c>
      <c r="C358" s="92" t="s">
        <v>633</v>
      </c>
      <c r="D358" s="71" t="str">
        <f t="shared" si="5"/>
        <v>да</v>
      </c>
    </row>
    <row r="359" spans="1:4" ht="15">
      <c r="A359" s="72">
        <v>344</v>
      </c>
      <c r="B359" s="92" t="s">
        <v>616</v>
      </c>
      <c r="C359" s="92" t="s">
        <v>634</v>
      </c>
      <c r="D359" s="71" t="str">
        <f t="shared" si="5"/>
        <v>да</v>
      </c>
    </row>
    <row r="360" spans="1:4" ht="15">
      <c r="A360" s="72">
        <v>345</v>
      </c>
      <c r="B360" t="s">
        <v>617</v>
      </c>
      <c r="C360" s="92" t="s">
        <v>635</v>
      </c>
      <c r="D360" s="71" t="str">
        <f t="shared" si="5"/>
        <v>да</v>
      </c>
    </row>
    <row r="361" spans="1:4" ht="15">
      <c r="A361" s="72">
        <v>346</v>
      </c>
      <c r="B361" s="92" t="s">
        <v>672</v>
      </c>
      <c r="C361" s="92" t="s">
        <v>673</v>
      </c>
      <c r="D361" s="71" t="str">
        <f t="shared" si="5"/>
        <v>да</v>
      </c>
    </row>
    <row r="362" spans="1:4" ht="15">
      <c r="A362" s="88">
        <v>346.5</v>
      </c>
      <c r="B362" s="92" t="s">
        <v>674</v>
      </c>
      <c r="C362" s="92" t="s">
        <v>675</v>
      </c>
      <c r="D362" s="71" t="str">
        <f>IF(C362&lt;&gt;"","да","нет")</f>
        <v>да</v>
      </c>
    </row>
    <row r="363" spans="1:4" ht="15">
      <c r="A363" s="72">
        <v>347</v>
      </c>
      <c r="B363" s="92" t="s">
        <v>636</v>
      </c>
      <c r="C363" s="92" t="s">
        <v>618</v>
      </c>
      <c r="D363" s="71" t="str">
        <f t="shared" si="5"/>
        <v>да</v>
      </c>
    </row>
    <row r="364" spans="1:4" ht="15">
      <c r="A364" s="72">
        <v>348</v>
      </c>
      <c r="B364" s="92" t="s">
        <v>637</v>
      </c>
      <c r="C364" s="92" t="s">
        <v>619</v>
      </c>
      <c r="D364" s="71" t="str">
        <f t="shared" si="5"/>
        <v>да</v>
      </c>
    </row>
    <row r="365" spans="1:4" ht="15">
      <c r="A365" s="72">
        <v>349</v>
      </c>
      <c r="B365" s="92" t="s">
        <v>638</v>
      </c>
      <c r="C365" s="92" t="s">
        <v>621</v>
      </c>
      <c r="D365" s="71" t="str">
        <f t="shared" si="5"/>
        <v>да</v>
      </c>
    </row>
    <row r="366" spans="1:4" ht="15">
      <c r="A366" s="72">
        <v>350</v>
      </c>
      <c r="B366" s="92" t="s">
        <v>639</v>
      </c>
      <c r="C366" t="s">
        <v>622</v>
      </c>
      <c r="D366" s="71" t="str">
        <f t="shared" si="5"/>
        <v>да</v>
      </c>
    </row>
    <row r="367" spans="1:4" ht="15">
      <c r="A367" s="72">
        <v>351</v>
      </c>
      <c r="B367" s="92" t="s">
        <v>640</v>
      </c>
      <c r="C367" t="s">
        <v>623</v>
      </c>
      <c r="D367" s="71" t="str">
        <f t="shared" si="5"/>
        <v>да</v>
      </c>
    </row>
    <row r="368" spans="1:4" ht="15">
      <c r="A368" s="72">
        <v>352</v>
      </c>
      <c r="B368" s="92" t="s">
        <v>641</v>
      </c>
      <c r="C368" t="s">
        <v>624</v>
      </c>
      <c r="D368" s="71" t="str">
        <f t="shared" si="5"/>
        <v>да</v>
      </c>
    </row>
    <row r="369" spans="1:4" ht="15">
      <c r="A369" s="72">
        <v>353</v>
      </c>
      <c r="B369" s="92" t="s">
        <v>642</v>
      </c>
      <c r="C369" s="92" t="s">
        <v>626</v>
      </c>
      <c r="D369" s="71" t="str">
        <f t="shared" si="5"/>
        <v>да</v>
      </c>
    </row>
    <row r="370" spans="1:4" ht="15">
      <c r="A370" s="72">
        <v>354</v>
      </c>
      <c r="B370" s="92" t="s">
        <v>643</v>
      </c>
      <c r="C370" t="s">
        <v>625</v>
      </c>
      <c r="D370" s="71" t="str">
        <f t="shared" si="5"/>
        <v>да</v>
      </c>
    </row>
    <row r="371" spans="1:4" ht="15">
      <c r="A371" s="72">
        <v>355</v>
      </c>
      <c r="B371" s="92" t="s">
        <v>644</v>
      </c>
      <c r="C371" s="92" t="s">
        <v>620</v>
      </c>
      <c r="D371" s="71" t="str">
        <f aca="true" t="shared" si="6" ref="D371:D379">IF(C371&lt;&gt;"","да","нет")</f>
        <v>да</v>
      </c>
    </row>
    <row r="372" spans="1:4" ht="15">
      <c r="A372" s="72">
        <v>356</v>
      </c>
      <c r="B372" s="92" t="s">
        <v>646</v>
      </c>
      <c r="C372" t="s">
        <v>648</v>
      </c>
      <c r="D372" s="71" t="str">
        <f t="shared" si="6"/>
        <v>да</v>
      </c>
    </row>
    <row r="373" spans="1:4" ht="15">
      <c r="A373" s="72">
        <v>357</v>
      </c>
      <c r="B373" s="92" t="s">
        <v>647</v>
      </c>
      <c r="C373" t="s">
        <v>649</v>
      </c>
      <c r="D373" s="71" t="str">
        <f t="shared" si="6"/>
        <v>да</v>
      </c>
    </row>
    <row r="374" spans="1:4" ht="15">
      <c r="A374" s="72">
        <v>358</v>
      </c>
      <c r="B374" s="92" t="s">
        <v>652</v>
      </c>
      <c r="C374" s="92" t="s">
        <v>654</v>
      </c>
      <c r="D374" s="71" t="str">
        <f t="shared" si="6"/>
        <v>да</v>
      </c>
    </row>
    <row r="375" spans="1:4" ht="15">
      <c r="A375" s="72">
        <v>359</v>
      </c>
      <c r="B375" s="92" t="s">
        <v>653</v>
      </c>
      <c r="C375" s="92" t="s">
        <v>655</v>
      </c>
      <c r="D375" s="71" t="str">
        <f t="shared" si="6"/>
        <v>да</v>
      </c>
    </row>
    <row r="376" spans="1:4" ht="15">
      <c r="A376" s="72">
        <v>360</v>
      </c>
      <c r="B376" s="92" t="s">
        <v>651</v>
      </c>
      <c r="C376" s="92" t="s">
        <v>650</v>
      </c>
      <c r="D376" s="71" t="str">
        <f t="shared" si="6"/>
        <v>да</v>
      </c>
    </row>
    <row r="377" spans="1:4" ht="42" customHeight="1">
      <c r="A377" s="72">
        <v>361</v>
      </c>
      <c r="B377" s="127" t="s">
        <v>666</v>
      </c>
      <c r="C377" s="127" t="s">
        <v>667</v>
      </c>
      <c r="D377" s="71" t="str">
        <f t="shared" si="6"/>
        <v>да</v>
      </c>
    </row>
    <row r="378" spans="1:4" ht="42" customHeight="1">
      <c r="A378" s="72">
        <v>362</v>
      </c>
      <c r="B378" s="127" t="s">
        <v>668</v>
      </c>
      <c r="C378" s="127" t="s">
        <v>669</v>
      </c>
      <c r="D378" s="71" t="str">
        <f t="shared" si="6"/>
        <v>да</v>
      </c>
    </row>
    <row r="379" spans="1:4" ht="30.75" customHeight="1">
      <c r="A379" s="72">
        <v>363</v>
      </c>
      <c r="B379" s="127" t="s">
        <v>665</v>
      </c>
      <c r="C379" s="127" t="s">
        <v>664</v>
      </c>
      <c r="D379" s="71" t="str">
        <f t="shared" si="6"/>
        <v>да</v>
      </c>
    </row>
    <row r="380" spans="1:4" ht="30.75" customHeight="1">
      <c r="A380" s="72">
        <v>364</v>
      </c>
      <c r="B380" s="127" t="s">
        <v>662</v>
      </c>
      <c r="C380" s="127" t="s">
        <v>663</v>
      </c>
      <c r="D380" s="71" t="str">
        <f>IF(C380&lt;&gt;"","да","нет")</f>
        <v>да</v>
      </c>
    </row>
    <row r="381" spans="1:4" ht="15">
      <c r="A381" s="72">
        <v>365</v>
      </c>
      <c r="B381" s="92" t="s">
        <v>680</v>
      </c>
      <c r="C381" t="s">
        <v>676</v>
      </c>
      <c r="D381" s="71" t="str">
        <f>IF(C381&lt;&gt;"","да","нет")</f>
        <v>да</v>
      </c>
    </row>
    <row r="382" spans="1:4" ht="15">
      <c r="A382" s="72">
        <v>366</v>
      </c>
      <c r="B382" s="92" t="s">
        <v>681</v>
      </c>
      <c r="C382" t="s">
        <v>677</v>
      </c>
      <c r="D382" s="71" t="str">
        <f>IF(C382&lt;&gt;"","да","нет")</f>
        <v>да</v>
      </c>
    </row>
    <row r="383" spans="1:3" ht="15.75">
      <c r="A383" s="72">
        <v>367</v>
      </c>
      <c r="B383" s="138" t="s">
        <v>682</v>
      </c>
      <c r="C383" s="127" t="s">
        <v>694</v>
      </c>
    </row>
    <row r="384" spans="1:3" ht="15.75">
      <c r="A384" s="72">
        <v>368</v>
      </c>
      <c r="B384" s="138" t="s">
        <v>683</v>
      </c>
      <c r="C384" s="127" t="s">
        <v>695</v>
      </c>
    </row>
    <row r="385" spans="1:3" ht="15.75">
      <c r="A385" s="72">
        <v>369</v>
      </c>
      <c r="B385" s="138" t="s">
        <v>686</v>
      </c>
      <c r="C385" s="127" t="s">
        <v>696</v>
      </c>
    </row>
    <row r="386" spans="1:3" ht="30.75">
      <c r="A386" s="72">
        <v>370</v>
      </c>
      <c r="B386" s="138" t="s">
        <v>685</v>
      </c>
      <c r="C386" s="127" t="s">
        <v>697</v>
      </c>
    </row>
    <row r="387" spans="1:3" ht="15">
      <c r="A387" s="72">
        <v>371</v>
      </c>
      <c r="B387" t="s">
        <v>684</v>
      </c>
      <c r="C387" s="127" t="s">
        <v>698</v>
      </c>
    </row>
    <row r="388" spans="1:3" ht="15">
      <c r="A388" s="72">
        <v>372</v>
      </c>
      <c r="B388" t="s">
        <v>687</v>
      </c>
      <c r="C388" s="127" t="s">
        <v>699</v>
      </c>
    </row>
    <row r="389" spans="1:3" ht="30" customHeight="1">
      <c r="A389" s="72">
        <v>373</v>
      </c>
      <c r="B389" t="s">
        <v>688</v>
      </c>
      <c r="C389" s="127" t="s">
        <v>700</v>
      </c>
    </row>
    <row r="390" spans="1:3" ht="15">
      <c r="A390" s="72">
        <v>374</v>
      </c>
      <c r="B390" t="s">
        <v>689</v>
      </c>
      <c r="C390" s="127" t="s">
        <v>701</v>
      </c>
    </row>
    <row r="391" spans="1:3" ht="15">
      <c r="A391" s="72">
        <v>375</v>
      </c>
      <c r="B391" t="s">
        <v>690</v>
      </c>
      <c r="C391" s="127" t="s">
        <v>702</v>
      </c>
    </row>
    <row r="392" spans="1:3" ht="15">
      <c r="A392" s="72">
        <v>376</v>
      </c>
      <c r="B392" t="s">
        <v>691</v>
      </c>
      <c r="C392" s="127" t="s">
        <v>703</v>
      </c>
    </row>
    <row r="393" spans="1:3" ht="15">
      <c r="A393" s="72">
        <v>377</v>
      </c>
      <c r="B393" t="s">
        <v>692</v>
      </c>
      <c r="C393" s="127" t="s">
        <v>704</v>
      </c>
    </row>
    <row r="394" spans="1:3" ht="15">
      <c r="A394" s="72">
        <v>378</v>
      </c>
      <c r="B394" t="s">
        <v>693</v>
      </c>
      <c r="C394" s="127" t="s">
        <v>705</v>
      </c>
    </row>
    <row r="395" spans="1:3" ht="15">
      <c r="A395" s="72">
        <v>379</v>
      </c>
      <c r="B395" s="63" t="s">
        <v>708</v>
      </c>
      <c r="C395" t="s">
        <v>706</v>
      </c>
    </row>
    <row r="396" spans="1:3" ht="15">
      <c r="A396" s="72">
        <v>380</v>
      </c>
      <c r="B396" t="s">
        <v>692</v>
      </c>
      <c r="C396" t="s">
        <v>704</v>
      </c>
    </row>
    <row r="397" spans="1:3" ht="15">
      <c r="A397"/>
      <c r="B397"/>
      <c r="C397"/>
    </row>
    <row r="398" spans="1:3" ht="15">
      <c r="A398"/>
      <c r="B398"/>
      <c r="C398"/>
    </row>
    <row r="399" spans="1:3" ht="15">
      <c r="A399"/>
      <c r="B399"/>
      <c r="C399"/>
    </row>
    <row r="400" spans="1:3" ht="15">
      <c r="A400"/>
      <c r="B400"/>
      <c r="C400"/>
    </row>
    <row r="401" spans="1:3" ht="15">
      <c r="A401"/>
      <c r="B401"/>
      <c r="C401"/>
    </row>
    <row r="402" spans="1:3" ht="15">
      <c r="A402"/>
      <c r="B402"/>
      <c r="C402"/>
    </row>
    <row r="403" spans="1:3" ht="15">
      <c r="A403"/>
      <c r="B403"/>
      <c r="C403"/>
    </row>
    <row r="404" spans="1:3" ht="15">
      <c r="A404"/>
      <c r="B404"/>
      <c r="C404"/>
    </row>
    <row r="405" spans="1:3" ht="15">
      <c r="A405"/>
      <c r="B405"/>
      <c r="C405"/>
    </row>
    <row r="406" spans="1:3" ht="15">
      <c r="A406"/>
      <c r="B406"/>
      <c r="C406"/>
    </row>
    <row r="407" spans="1:3" ht="15">
      <c r="A407"/>
      <c r="B407"/>
      <c r="C407"/>
    </row>
    <row r="408" spans="1:3" ht="15">
      <c r="A408"/>
      <c r="B408"/>
      <c r="C408"/>
    </row>
    <row r="409" spans="1:3" ht="15">
      <c r="A409"/>
      <c r="B409"/>
      <c r="C409"/>
    </row>
    <row r="410" spans="1:3" ht="15">
      <c r="A410"/>
      <c r="B410"/>
      <c r="C410"/>
    </row>
    <row r="411" spans="1:3" ht="15">
      <c r="A411"/>
      <c r="B411"/>
      <c r="C411"/>
    </row>
    <row r="412" spans="1:3" ht="15">
      <c r="A412"/>
      <c r="B412"/>
      <c r="C412"/>
    </row>
    <row r="413" spans="1:3" ht="15">
      <c r="A413"/>
      <c r="B413"/>
      <c r="C413"/>
    </row>
    <row r="414" spans="1:3" ht="15">
      <c r="A414"/>
      <c r="B414"/>
      <c r="C414"/>
    </row>
    <row r="415" spans="1:3" ht="15">
      <c r="A415"/>
      <c r="B415"/>
      <c r="C415"/>
    </row>
    <row r="416" spans="1:3" ht="15">
      <c r="A416"/>
      <c r="B416"/>
      <c r="C416"/>
    </row>
    <row r="417" spans="1:3" ht="15">
      <c r="A417"/>
      <c r="B417"/>
      <c r="C417"/>
    </row>
    <row r="418" spans="1:3" ht="15">
      <c r="A418"/>
      <c r="B418"/>
      <c r="C418"/>
    </row>
    <row r="419" spans="1:3" ht="15">
      <c r="A419"/>
      <c r="B419"/>
      <c r="C419"/>
    </row>
    <row r="420" spans="1:3" ht="15">
      <c r="A420"/>
      <c r="B420"/>
      <c r="C420"/>
    </row>
    <row r="421" spans="1:3" ht="15">
      <c r="A421"/>
      <c r="B421"/>
      <c r="C421"/>
    </row>
    <row r="422" spans="1:3" ht="15">
      <c r="A422"/>
      <c r="B422"/>
      <c r="C422"/>
    </row>
    <row r="423" spans="1:3" ht="15">
      <c r="A423"/>
      <c r="B423"/>
      <c r="C423"/>
    </row>
    <row r="424" spans="1:3" ht="15">
      <c r="A424"/>
      <c r="B424"/>
      <c r="C424"/>
    </row>
    <row r="425" spans="1:3" ht="15">
      <c r="A425"/>
      <c r="B425"/>
      <c r="C425"/>
    </row>
    <row r="426" spans="1:3" ht="15">
      <c r="A426"/>
      <c r="B426"/>
      <c r="C426"/>
    </row>
    <row r="427" spans="1:3" ht="15">
      <c r="A427"/>
      <c r="B427"/>
      <c r="C427"/>
    </row>
    <row r="428" spans="1:3" ht="15">
      <c r="A428"/>
      <c r="B428"/>
      <c r="C428"/>
    </row>
    <row r="429" spans="1:3" ht="15">
      <c r="A429"/>
      <c r="B429"/>
      <c r="C429"/>
    </row>
    <row r="430" spans="1:3" ht="15">
      <c r="A430"/>
      <c r="B430"/>
      <c r="C430"/>
    </row>
    <row r="431" spans="1:3" ht="15">
      <c r="A431"/>
      <c r="B431"/>
      <c r="C431"/>
    </row>
    <row r="432" spans="1:3" ht="15">
      <c r="A432"/>
      <c r="B432"/>
      <c r="C432"/>
    </row>
    <row r="433" spans="1:3" ht="15">
      <c r="A433"/>
      <c r="B433"/>
      <c r="C433"/>
    </row>
    <row r="434" spans="1:3" ht="15">
      <c r="A434"/>
      <c r="B434"/>
      <c r="C434"/>
    </row>
    <row r="435" spans="1:3" ht="15">
      <c r="A435"/>
      <c r="B435"/>
      <c r="C435"/>
    </row>
    <row r="436" spans="1:3" ht="15">
      <c r="A436"/>
      <c r="B436"/>
      <c r="C436"/>
    </row>
    <row r="437" spans="1:3" ht="15">
      <c r="A437"/>
      <c r="B437"/>
      <c r="C437"/>
    </row>
    <row r="438" spans="1:3" ht="15">
      <c r="A438"/>
      <c r="B438"/>
      <c r="C438"/>
    </row>
    <row r="439" spans="1:3" ht="15">
      <c r="A439"/>
      <c r="B439"/>
      <c r="C439"/>
    </row>
    <row r="440" spans="1:3" ht="15">
      <c r="A440"/>
      <c r="B440"/>
      <c r="C440"/>
    </row>
    <row r="441" spans="1:3" ht="15">
      <c r="A441"/>
      <c r="B441"/>
      <c r="C441"/>
    </row>
    <row r="442" spans="1:3" ht="15">
      <c r="A442"/>
      <c r="B442"/>
      <c r="C442"/>
    </row>
    <row r="443" spans="1:3" ht="15">
      <c r="A443"/>
      <c r="B443"/>
      <c r="C443"/>
    </row>
    <row r="444" spans="1:3" ht="15">
      <c r="A444"/>
      <c r="B444"/>
      <c r="C444"/>
    </row>
    <row r="445" spans="1:3" ht="15">
      <c r="A445"/>
      <c r="B445"/>
      <c r="C445"/>
    </row>
    <row r="446" spans="1:3" ht="15">
      <c r="A446"/>
      <c r="B446"/>
      <c r="C446"/>
    </row>
    <row r="447" spans="1:3" ht="15">
      <c r="A447"/>
      <c r="B447"/>
      <c r="C447"/>
    </row>
    <row r="448" spans="1:3" ht="15">
      <c r="A448"/>
      <c r="B448"/>
      <c r="C448"/>
    </row>
    <row r="449" spans="1:3" ht="15">
      <c r="A449"/>
      <c r="B449"/>
      <c r="C449"/>
    </row>
    <row r="450" spans="1:3" ht="15">
      <c r="A450"/>
      <c r="B450"/>
      <c r="C450"/>
    </row>
    <row r="451" spans="1:3" ht="15">
      <c r="A451"/>
      <c r="B451"/>
      <c r="C451"/>
    </row>
    <row r="452" spans="1:3" ht="15">
      <c r="A452"/>
      <c r="B452"/>
      <c r="C452"/>
    </row>
    <row r="453" spans="1:3" ht="15">
      <c r="A453"/>
      <c r="B453"/>
      <c r="C453"/>
    </row>
    <row r="454" spans="1:3" ht="15">
      <c r="A454"/>
      <c r="B454"/>
      <c r="C454"/>
    </row>
    <row r="455" spans="1:3" ht="15">
      <c r="A455"/>
      <c r="B455"/>
      <c r="C455"/>
    </row>
    <row r="456" spans="1:3" ht="15">
      <c r="A456"/>
      <c r="B456"/>
      <c r="C456"/>
    </row>
    <row r="457" spans="1:3" ht="15">
      <c r="A457"/>
      <c r="B457"/>
      <c r="C457"/>
    </row>
    <row r="458" spans="1:3" ht="15">
      <c r="A458"/>
      <c r="B458"/>
      <c r="C458"/>
    </row>
    <row r="459" spans="1:3" ht="15">
      <c r="A459"/>
      <c r="B459"/>
      <c r="C459"/>
    </row>
    <row r="460" spans="1:3" ht="15">
      <c r="A460"/>
      <c r="B460"/>
      <c r="C460"/>
    </row>
    <row r="461" spans="1:3" ht="15">
      <c r="A461"/>
      <c r="B461"/>
      <c r="C461"/>
    </row>
    <row r="462" spans="1:3" ht="15">
      <c r="A462"/>
      <c r="B462"/>
      <c r="C462"/>
    </row>
    <row r="463" spans="1:3" ht="15">
      <c r="A463"/>
      <c r="B463"/>
      <c r="C463"/>
    </row>
    <row r="464" spans="1:3" ht="15">
      <c r="A464"/>
      <c r="B464"/>
      <c r="C464"/>
    </row>
    <row r="465" spans="1:3" ht="15">
      <c r="A465"/>
      <c r="B465"/>
      <c r="C465"/>
    </row>
    <row r="466" spans="1:3" ht="15">
      <c r="A466"/>
      <c r="B466"/>
      <c r="C466"/>
    </row>
    <row r="467" spans="1:3" ht="15">
      <c r="A467"/>
      <c r="B467"/>
      <c r="C467"/>
    </row>
    <row r="468" spans="1:3" ht="15">
      <c r="A468"/>
      <c r="B468"/>
      <c r="C468"/>
    </row>
    <row r="469" spans="1:3" ht="15">
      <c r="A469"/>
      <c r="B469"/>
      <c r="C469"/>
    </row>
    <row r="470" spans="1:3" ht="15">
      <c r="A470"/>
      <c r="B470"/>
      <c r="C470"/>
    </row>
    <row r="471" spans="1:3" ht="15">
      <c r="A471"/>
      <c r="B471"/>
      <c r="C471"/>
    </row>
    <row r="472" spans="1:3" ht="15">
      <c r="A472"/>
      <c r="B472"/>
      <c r="C472"/>
    </row>
    <row r="473" spans="1:3" ht="15">
      <c r="A473"/>
      <c r="B473"/>
      <c r="C473"/>
    </row>
    <row r="474" spans="1:3" ht="15">
      <c r="A474"/>
      <c r="B474"/>
      <c r="C474"/>
    </row>
    <row r="475" spans="1:3" ht="15">
      <c r="A475"/>
      <c r="B475"/>
      <c r="C475"/>
    </row>
    <row r="476" spans="1:3" ht="15">
      <c r="A476"/>
      <c r="B476"/>
      <c r="C476"/>
    </row>
    <row r="477" spans="1:3" ht="15">
      <c r="A477"/>
      <c r="B477"/>
      <c r="C477"/>
    </row>
    <row r="478" spans="1:3" ht="15">
      <c r="A478"/>
      <c r="B478"/>
      <c r="C478"/>
    </row>
    <row r="479" spans="1:3" ht="15">
      <c r="A479"/>
      <c r="B479"/>
      <c r="C479"/>
    </row>
    <row r="480" spans="1:3" ht="15">
      <c r="A480"/>
      <c r="B480"/>
      <c r="C480"/>
    </row>
    <row r="481" spans="1:3" ht="15">
      <c r="A481"/>
      <c r="B481"/>
      <c r="C481"/>
    </row>
  </sheetData>
  <sheetProtection/>
  <autoFilter ref="A1:D343"/>
  <conditionalFormatting sqref="D1:D312 D314:D361 D376:D379 D383:D65536 D363:D370">
    <cfRule type="containsText" priority="8" dxfId="8" operator="containsText" stopIfTrue="1" text="нет">
      <formula>NOT(ISERROR(SEARCH("нет",D1)))</formula>
    </cfRule>
  </conditionalFormatting>
  <conditionalFormatting sqref="D313">
    <cfRule type="containsText" priority="7" dxfId="8" operator="containsText" stopIfTrue="1" text="нет">
      <formula>NOT(ISERROR(SEARCH("нет",D313)))</formula>
    </cfRule>
  </conditionalFormatting>
  <conditionalFormatting sqref="D313">
    <cfRule type="containsText" priority="6" dxfId="8" operator="containsText" stopIfTrue="1" text="нет">
      <formula>NOT(ISERROR(SEARCH("нет",D313)))</formula>
    </cfRule>
  </conditionalFormatting>
  <conditionalFormatting sqref="D371">
    <cfRule type="containsText" priority="5" dxfId="8" operator="containsText" stopIfTrue="1" text="нет">
      <formula>NOT(ISERROR(SEARCH("нет",D371)))</formula>
    </cfRule>
  </conditionalFormatting>
  <conditionalFormatting sqref="D372:D375">
    <cfRule type="containsText" priority="4" dxfId="8" operator="containsText" stopIfTrue="1" text="нет">
      <formula>NOT(ISERROR(SEARCH("нет",D372)))</formula>
    </cfRule>
  </conditionalFormatting>
  <conditionalFormatting sqref="D380">
    <cfRule type="containsText" priority="3" dxfId="8" operator="containsText" stopIfTrue="1" text="нет">
      <formula>NOT(ISERROR(SEARCH("нет",D380)))</formula>
    </cfRule>
  </conditionalFormatting>
  <conditionalFormatting sqref="D362">
    <cfRule type="containsText" priority="2" dxfId="8" operator="containsText" stopIfTrue="1" text="нет">
      <formula>NOT(ISERROR(SEARCH("нет",D362)))</formula>
    </cfRule>
  </conditionalFormatting>
  <conditionalFormatting sqref="D381:D382">
    <cfRule type="containsText" priority="1" dxfId="8" operator="containsText" stopIfTrue="1" text="нет">
      <formula>NOT(ISERROR(SEARCH("нет",D381)))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Мария Игоревна</dc:creator>
  <cp:keywords/>
  <dc:description/>
  <cp:lastModifiedBy>Горбунова Мария Игоревна</cp:lastModifiedBy>
  <cp:lastPrinted>2013-08-15T13:51:11Z</cp:lastPrinted>
  <dcterms:created xsi:type="dcterms:W3CDTF">2006-11-07T16:58:27Z</dcterms:created>
  <dcterms:modified xsi:type="dcterms:W3CDTF">2015-04-27T12:22:20Z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